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2v\Desktop\"/>
    </mc:Choice>
  </mc:AlternateContent>
  <xr:revisionPtr revIDLastSave="0" documentId="8_{697DC598-058C-456B-A72B-1592E5969A02}" xr6:coauthVersionLast="38" xr6:coauthVersionMax="38" xr10:uidLastSave="{00000000-0000-0000-0000-000000000000}"/>
  <bookViews>
    <workbookView xWindow="18120" yWindow="-285" windowWidth="20610" windowHeight="11640" tabRatio="846" activeTab="1" xr2:uid="{00000000-000D-0000-FFFF-FFFF00000000}"/>
  </bookViews>
  <sheets>
    <sheet name="Forudsætninger" sheetId="3" r:id="rId1"/>
    <sheet name="Figurer" sheetId="8" r:id="rId2"/>
    <sheet name="Elfosyning" sheetId="5" r:id="rId3"/>
    <sheet name="VE-el" sheetId="12" r:id="rId4"/>
    <sheet name="Fjernvarme" sheetId="4" r:id="rId5"/>
    <sheet name="Individuel opv." sheetId="7" r:id="rId6"/>
    <sheet name="Bygas" sheetId="6" r:id="rId7"/>
    <sheet name="Trafik" sheetId="9" r:id="rId8"/>
    <sheet name="Skov" sheetId="10" r:id="rId9"/>
    <sheet name="Affald og spildevand" sheetId="11" r:id="rId10"/>
    <sheet name="Areal" sheetId="14" r:id="rId11"/>
    <sheet name="Kontakt" sheetId="1" r:id="rId12"/>
    <sheet name="Kilder" sheetId="2" r:id="rId13"/>
    <sheet name="Procesemissioner" sheetId="15" r:id="rId14"/>
    <sheet name="TIER 1" sheetId="13" r:id="rId15"/>
  </sheets>
  <definedNames>
    <definedName name="_Hlk321973829" localSheetId="9">'Affald og spildevand'!$A$4</definedName>
    <definedName name="_Hlk321977280" localSheetId="9">'Affald og spildevand'!$A$16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" i="8" l="1"/>
  <c r="L3" i="3"/>
  <c r="K15" i="3"/>
  <c r="T37" i="4" l="1"/>
  <c r="S37" i="4"/>
  <c r="U37" i="4" s="1"/>
  <c r="F73" i="4" l="1"/>
  <c r="F79" i="4" s="1"/>
  <c r="G73" i="4"/>
  <c r="G76" i="4" s="1"/>
  <c r="N33" i="12"/>
  <c r="O31" i="12"/>
  <c r="N31" i="12"/>
  <c r="F78" i="4" l="1"/>
  <c r="G79" i="4"/>
  <c r="F77" i="4"/>
  <c r="G78" i="4"/>
  <c r="F75" i="4"/>
  <c r="F76" i="4"/>
  <c r="G77" i="4"/>
  <c r="G75" i="4"/>
  <c r="O10" i="12"/>
  <c r="N10" i="12"/>
  <c r="J18" i="3"/>
  <c r="J15" i="3"/>
  <c r="L88" i="8" l="1"/>
  <c r="V43" i="8" l="1"/>
  <c r="V42" i="8"/>
  <c r="U43" i="8"/>
  <c r="U42" i="8"/>
  <c r="D81" i="8"/>
  <c r="D80" i="8"/>
  <c r="D78" i="8"/>
  <c r="D76" i="8"/>
  <c r="D75" i="8"/>
  <c r="D73" i="8"/>
  <c r="D67" i="8"/>
  <c r="W43" i="8" l="1"/>
  <c r="W42" i="8"/>
  <c r="D42" i="8"/>
  <c r="D43" i="8"/>
  <c r="H40" i="14"/>
  <c r="F39" i="14"/>
  <c r="D40" i="14" s="1"/>
  <c r="H39" i="14" l="1"/>
  <c r="F38" i="14"/>
  <c r="H38" i="14" s="1"/>
  <c r="F35" i="14"/>
  <c r="H35" i="14" s="1"/>
  <c r="G27" i="14"/>
  <c r="G25" i="14"/>
  <c r="G24" i="14"/>
  <c r="G14" i="14"/>
  <c r="W76" i="8" l="1"/>
  <c r="W78" i="8"/>
  <c r="W80" i="8"/>
  <c r="W81" i="8"/>
  <c r="I99" i="7"/>
  <c r="C66" i="9" l="1"/>
  <c r="C65" i="9"/>
  <c r="C64" i="9"/>
  <c r="C63" i="9"/>
  <c r="C62" i="9"/>
  <c r="Q69" i="8" l="1"/>
  <c r="R69" i="8"/>
  <c r="S69" i="8"/>
  <c r="T69" i="8"/>
  <c r="U69" i="8"/>
  <c r="P69" i="8"/>
  <c r="C72" i="9"/>
  <c r="H71" i="9"/>
  <c r="G71" i="9"/>
  <c r="F71" i="9"/>
  <c r="E71" i="9"/>
  <c r="D71" i="9"/>
  <c r="C71" i="9"/>
  <c r="C75" i="9" l="1"/>
  <c r="I8" i="9"/>
  <c r="Z76" i="8" l="1"/>
  <c r="L70" i="13"/>
  <c r="K70" i="13"/>
  <c r="M70" i="13" s="1"/>
  <c r="K66" i="13"/>
  <c r="M66" i="13" s="1"/>
  <c r="V74" i="8"/>
  <c r="L66" i="13"/>
  <c r="L65" i="13"/>
  <c r="K65" i="13"/>
  <c r="G21" i="13"/>
  <c r="E25" i="13"/>
  <c r="D25" i="13"/>
  <c r="B25" i="13" s="1"/>
  <c r="K2" i="3"/>
  <c r="I33" i="7" s="1"/>
  <c r="C39" i="10"/>
  <c r="V79" i="8" s="1"/>
  <c r="M65" i="13" l="1"/>
  <c r="E68" i="13"/>
  <c r="F68" i="13" s="1"/>
  <c r="E72" i="13"/>
  <c r="F72" i="13" s="1"/>
  <c r="E76" i="13"/>
  <c r="F76" i="13" s="1"/>
  <c r="E71" i="13"/>
  <c r="F71" i="13" s="1"/>
  <c r="E65" i="13"/>
  <c r="F65" i="13" s="1"/>
  <c r="E69" i="13"/>
  <c r="F69" i="13" s="1"/>
  <c r="E73" i="13"/>
  <c r="F73" i="13" s="1"/>
  <c r="E77" i="13"/>
  <c r="F77" i="13" s="1"/>
  <c r="V82" i="8" s="1"/>
  <c r="E66" i="13"/>
  <c r="F66" i="13" s="1"/>
  <c r="E70" i="13"/>
  <c r="F70" i="13" s="1"/>
  <c r="E74" i="13"/>
  <c r="F74" i="13" s="1"/>
  <c r="E64" i="13"/>
  <c r="F64" i="13" s="1"/>
  <c r="E67" i="13"/>
  <c r="F67" i="13" s="1"/>
  <c r="E75" i="13"/>
  <c r="F75" i="13" s="1"/>
  <c r="D79" i="8"/>
  <c r="D74" i="8"/>
  <c r="W74" i="8"/>
  <c r="Z74" i="8"/>
  <c r="C103" i="7"/>
  <c r="C102" i="7"/>
  <c r="C101" i="7"/>
  <c r="A99" i="7"/>
  <c r="I41" i="7"/>
  <c r="C100" i="7"/>
  <c r="I101" i="9" l="1"/>
  <c r="V72" i="8"/>
  <c r="I74" i="9"/>
  <c r="D82" i="8"/>
  <c r="I100" i="9"/>
  <c r="V71" i="8"/>
  <c r="I73" i="9"/>
  <c r="C104" i="7"/>
  <c r="D100" i="7" s="1"/>
  <c r="E19" i="12"/>
  <c r="F19" i="12"/>
  <c r="G19" i="12"/>
  <c r="H19" i="12"/>
  <c r="I19" i="12"/>
  <c r="J19" i="12"/>
  <c r="K19" i="12"/>
  <c r="D19" i="12"/>
  <c r="E6" i="15"/>
  <c r="E10" i="15" s="1"/>
  <c r="V77" i="8" s="1"/>
  <c r="D103" i="7" l="1"/>
  <c r="D102" i="7"/>
  <c r="D72" i="8"/>
  <c r="W72" i="8"/>
  <c r="Z72" i="8"/>
  <c r="D71" i="8"/>
  <c r="W71" i="8"/>
  <c r="Z71" i="8"/>
  <c r="D77" i="8"/>
  <c r="W77" i="8"/>
  <c r="D101" i="7"/>
  <c r="H62" i="9"/>
  <c r="K87" i="9" s="1"/>
  <c r="H66" i="9"/>
  <c r="H65" i="9"/>
  <c r="H64" i="9"/>
  <c r="I63" i="9"/>
  <c r="H63" i="9"/>
  <c r="K88" i="9" s="1"/>
  <c r="I62" i="9" l="1"/>
  <c r="I64" i="9"/>
  <c r="K89" i="9"/>
  <c r="I65" i="9"/>
  <c r="I67" i="9" s="1"/>
  <c r="K90" i="9"/>
  <c r="I66" i="9"/>
  <c r="K91" i="9"/>
  <c r="D104" i="7"/>
  <c r="E101" i="7" s="1"/>
  <c r="K92" i="9" l="1"/>
  <c r="E100" i="7"/>
  <c r="E102" i="7"/>
  <c r="E103" i="7"/>
  <c r="I98" i="9"/>
  <c r="E104" i="7" l="1"/>
  <c r="I71" i="9"/>
  <c r="V69" i="8"/>
  <c r="J27" i="6"/>
  <c r="J28" i="6"/>
  <c r="J25" i="6"/>
  <c r="I36" i="7" s="1"/>
  <c r="J23" i="6"/>
  <c r="J34" i="6"/>
  <c r="J14" i="6"/>
  <c r="J13" i="6"/>
  <c r="J12" i="6"/>
  <c r="J11" i="6"/>
  <c r="J26" i="6"/>
  <c r="J22" i="6"/>
  <c r="J15" i="6" s="1"/>
  <c r="U19" i="5"/>
  <c r="U15" i="5"/>
  <c r="U14" i="5"/>
  <c r="Y14" i="5" s="1"/>
  <c r="U13" i="5"/>
  <c r="U12" i="5"/>
  <c r="U11" i="5"/>
  <c r="U10" i="5"/>
  <c r="U9" i="5"/>
  <c r="J16" i="6" l="1"/>
  <c r="Y15" i="5"/>
  <c r="D69" i="8"/>
  <c r="W69" i="8"/>
  <c r="J29" i="6"/>
  <c r="J32" i="6" s="1"/>
  <c r="J3" i="6"/>
  <c r="J33" i="6"/>
  <c r="M11" i="3"/>
  <c r="L11" i="3"/>
  <c r="K18" i="3"/>
  <c r="K13" i="3"/>
  <c r="K42" i="5"/>
  <c r="K59" i="5"/>
  <c r="V9" i="8"/>
  <c r="V68" i="8"/>
  <c r="V66" i="8"/>
  <c r="V52" i="8"/>
  <c r="V51" i="8"/>
  <c r="V50" i="8"/>
  <c r="V49" i="8"/>
  <c r="V37" i="8"/>
  <c r="V36" i="8"/>
  <c r="V35" i="8"/>
  <c r="V34" i="8"/>
  <c r="V33" i="8"/>
  <c r="V29" i="8"/>
  <c r="V28" i="8"/>
  <c r="V27" i="8"/>
  <c r="V26" i="8"/>
  <c r="V25" i="8"/>
  <c r="V19" i="8"/>
  <c r="V18" i="8"/>
  <c r="V17" i="8"/>
  <c r="V16" i="8"/>
  <c r="V15" i="8"/>
  <c r="V14" i="8"/>
  <c r="D18" i="8" l="1"/>
  <c r="D68" i="8"/>
  <c r="D14" i="8"/>
  <c r="U8" i="5"/>
  <c r="K46" i="5"/>
  <c r="D15" i="8"/>
  <c r="D19" i="8"/>
  <c r="K20" i="12"/>
  <c r="D16" i="8"/>
  <c r="D17" i="8"/>
  <c r="D66" i="8"/>
  <c r="K4" i="5"/>
  <c r="J8" i="6"/>
  <c r="J4" i="6"/>
  <c r="V20" i="8"/>
  <c r="U20" i="5" l="1"/>
  <c r="V24" i="8"/>
  <c r="U17" i="5"/>
  <c r="D20" i="8"/>
  <c r="G102" i="7"/>
  <c r="I11" i="9"/>
  <c r="I14" i="9"/>
  <c r="I13" i="9"/>
  <c r="I12" i="9"/>
  <c r="U28" i="5"/>
  <c r="U23" i="5"/>
  <c r="U26" i="5"/>
  <c r="U24" i="5"/>
  <c r="U25" i="5"/>
  <c r="U27" i="5"/>
  <c r="U21" i="5"/>
  <c r="U22" i="5"/>
  <c r="N11" i="3"/>
  <c r="K16" i="12" l="1"/>
  <c r="V30" i="8"/>
  <c r="I15" i="9"/>
  <c r="I18" i="9" s="1"/>
  <c r="V32" i="8"/>
  <c r="U29" i="5"/>
  <c r="J38" i="4"/>
  <c r="J40" i="4" s="1"/>
  <c r="H43" i="7" s="1"/>
  <c r="J27" i="4"/>
  <c r="J33" i="4" s="1"/>
  <c r="U59" i="8" s="1"/>
  <c r="J26" i="4"/>
  <c r="J42" i="4" s="1"/>
  <c r="H45" i="7" s="1"/>
  <c r="H47" i="7" s="1"/>
  <c r="J25" i="4"/>
  <c r="J31" i="4" s="1"/>
  <c r="U57" i="8" s="1"/>
  <c r="J24" i="4"/>
  <c r="J19" i="4"/>
  <c r="J18" i="4"/>
  <c r="J17" i="4"/>
  <c r="J16" i="4"/>
  <c r="J14" i="4"/>
  <c r="K39" i="12"/>
  <c r="K8" i="12" s="1"/>
  <c r="J39" i="12"/>
  <c r="J8" i="12" s="1"/>
  <c r="U44" i="8" s="1"/>
  <c r="J33" i="12"/>
  <c r="J9" i="12" s="1"/>
  <c r="U45" i="8" s="1"/>
  <c r="J18" i="12"/>
  <c r="Y34" i="5" l="1"/>
  <c r="V63" i="8"/>
  <c r="V44" i="8"/>
  <c r="V38" i="8"/>
  <c r="I72" i="9"/>
  <c r="I75" i="9" s="1"/>
  <c r="I99" i="9"/>
  <c r="J20" i="4"/>
  <c r="U64" i="8" s="1"/>
  <c r="J28" i="4"/>
  <c r="J30" i="4"/>
  <c r="U56" i="8" s="1"/>
  <c r="J32" i="4"/>
  <c r="J10" i="12"/>
  <c r="J17" i="12" s="1"/>
  <c r="S10" i="5"/>
  <c r="T26" i="8" s="1"/>
  <c r="R82" i="8"/>
  <c r="Z82" i="8" s="1"/>
  <c r="S82" i="8"/>
  <c r="T82" i="8"/>
  <c r="U82" i="8"/>
  <c r="W82" i="8" s="1"/>
  <c r="Q82" i="8"/>
  <c r="D98" i="9"/>
  <c r="E98" i="9"/>
  <c r="F98" i="9"/>
  <c r="G98" i="9"/>
  <c r="H98" i="9"/>
  <c r="C98" i="9"/>
  <c r="C99" i="9"/>
  <c r="P70" i="8" s="1"/>
  <c r="H30" i="9"/>
  <c r="Q52" i="13"/>
  <c r="T19" i="5"/>
  <c r="T15" i="5"/>
  <c r="T14" i="5"/>
  <c r="X14" i="5" s="1"/>
  <c r="T13" i="5"/>
  <c r="T12" i="5"/>
  <c r="T11" i="5"/>
  <c r="U27" i="8" s="1"/>
  <c r="T10" i="5"/>
  <c r="T9" i="5"/>
  <c r="I43" i="5"/>
  <c r="I18" i="3"/>
  <c r="C25" i="10"/>
  <c r="C26" i="10" s="1"/>
  <c r="C28" i="10" s="1"/>
  <c r="C32" i="10" s="1"/>
  <c r="U79" i="8" s="1"/>
  <c r="W79" i="8" s="1"/>
  <c r="V15" i="5"/>
  <c r="S14" i="5"/>
  <c r="S15" i="5"/>
  <c r="F85" i="7" s="1"/>
  <c r="L19" i="6"/>
  <c r="L18" i="6"/>
  <c r="I26" i="6"/>
  <c r="I25" i="6"/>
  <c r="I14" i="6"/>
  <c r="I13" i="6"/>
  <c r="I12" i="6"/>
  <c r="I11" i="6"/>
  <c r="F36" i="14"/>
  <c r="H36" i="14" s="1"/>
  <c r="F37" i="14"/>
  <c r="H37" i="14" s="1"/>
  <c r="G17" i="14"/>
  <c r="G18" i="14"/>
  <c r="G19" i="14"/>
  <c r="G16" i="14"/>
  <c r="G13" i="14"/>
  <c r="G12" i="14"/>
  <c r="G21" i="14" s="1"/>
  <c r="D24" i="13"/>
  <c r="E24" i="13"/>
  <c r="H8" i="9"/>
  <c r="J42" i="5" s="1"/>
  <c r="J2" i="3"/>
  <c r="H33" i="7" s="1"/>
  <c r="K38" i="4"/>
  <c r="K40" i="4" s="1"/>
  <c r="I43" i="7" s="1"/>
  <c r="A24" i="4"/>
  <c r="K24" i="4"/>
  <c r="K30" i="4" s="1"/>
  <c r="V56" i="8" s="1"/>
  <c r="K16" i="4"/>
  <c r="I90" i="7"/>
  <c r="C94" i="7"/>
  <c r="C93" i="7"/>
  <c r="C92" i="7"/>
  <c r="J59" i="5"/>
  <c r="U52" i="8"/>
  <c r="U51" i="8"/>
  <c r="U50" i="8"/>
  <c r="U49" i="8"/>
  <c r="U29" i="8"/>
  <c r="U28" i="8"/>
  <c r="U26" i="8"/>
  <c r="U19" i="8"/>
  <c r="W19" i="8" s="1"/>
  <c r="U18" i="8"/>
  <c r="W18" i="8" s="1"/>
  <c r="U17" i="8"/>
  <c r="W17" i="8" s="1"/>
  <c r="U16" i="8"/>
  <c r="U15" i="8"/>
  <c r="W15" i="8" s="1"/>
  <c r="U14" i="8"/>
  <c r="W14" i="8" s="1"/>
  <c r="H58" i="9"/>
  <c r="I58" i="9" s="1"/>
  <c r="H57" i="9"/>
  <c r="I57" i="9" s="1"/>
  <c r="I56" i="9"/>
  <c r="H56" i="9"/>
  <c r="H55" i="9"/>
  <c r="I55" i="9" s="1"/>
  <c r="H54" i="9"/>
  <c r="I54" i="9" s="1"/>
  <c r="I28" i="6"/>
  <c r="I27" i="6"/>
  <c r="I22" i="6"/>
  <c r="I15" i="6" s="1"/>
  <c r="A90" i="7"/>
  <c r="C91" i="7"/>
  <c r="H41" i="7"/>
  <c r="J13" i="3"/>
  <c r="K27" i="4"/>
  <c r="K26" i="4"/>
  <c r="K25" i="4"/>
  <c r="K31" i="4" s="1"/>
  <c r="V57" i="8" s="1"/>
  <c r="K19" i="4"/>
  <c r="K18" i="4"/>
  <c r="K17" i="4"/>
  <c r="K14" i="4"/>
  <c r="K33" i="12"/>
  <c r="K9" i="12" s="1"/>
  <c r="V45" i="8" s="1"/>
  <c r="K18" i="12"/>
  <c r="G8" i="9"/>
  <c r="I42" i="5" s="1"/>
  <c r="S8" i="5" s="1"/>
  <c r="H15" i="3"/>
  <c r="I18" i="4"/>
  <c r="I19" i="4"/>
  <c r="C8" i="10"/>
  <c r="C10" i="10" s="1"/>
  <c r="C14" i="10" s="1"/>
  <c r="T79" i="8" s="1"/>
  <c r="C7" i="10"/>
  <c r="H50" i="9"/>
  <c r="I50" i="9" s="1"/>
  <c r="H48" i="9"/>
  <c r="I48" i="9" s="1"/>
  <c r="H46" i="9"/>
  <c r="I46" i="9" s="1"/>
  <c r="C6" i="15"/>
  <c r="C10" i="15" s="1"/>
  <c r="G5" i="14"/>
  <c r="G4" i="14"/>
  <c r="N41" i="7"/>
  <c r="I82" i="7"/>
  <c r="C86" i="7"/>
  <c r="C85" i="7"/>
  <c r="C83" i="7"/>
  <c r="C84" i="7"/>
  <c r="G33" i="7"/>
  <c r="I24" i="4"/>
  <c r="I27" i="4"/>
  <c r="I33" i="4" s="1"/>
  <c r="T59" i="8" s="1"/>
  <c r="I16" i="4"/>
  <c r="N22" i="12"/>
  <c r="N23" i="12"/>
  <c r="I38" i="4"/>
  <c r="I40" i="4" s="1"/>
  <c r="G43" i="7" s="1"/>
  <c r="I26" i="4"/>
  <c r="I25" i="4"/>
  <c r="I31" i="4" s="1"/>
  <c r="T57" i="8" s="1"/>
  <c r="I17" i="4"/>
  <c r="I20" i="4" s="1"/>
  <c r="T64" i="8" s="1"/>
  <c r="T6" i="8" s="1"/>
  <c r="I14" i="4"/>
  <c r="H14" i="6"/>
  <c r="H11" i="6"/>
  <c r="H25" i="6"/>
  <c r="G36" i="7" s="1"/>
  <c r="H28" i="6"/>
  <c r="H27" i="6"/>
  <c r="H26" i="6"/>
  <c r="H29" i="6" s="1"/>
  <c r="H32" i="6" s="1"/>
  <c r="H13" i="6"/>
  <c r="H12" i="6"/>
  <c r="H22" i="6"/>
  <c r="A82" i="7"/>
  <c r="G41" i="7"/>
  <c r="I39" i="12"/>
  <c r="I8" i="12" s="1"/>
  <c r="T44" i="8" s="1"/>
  <c r="I33" i="12"/>
  <c r="I9" i="12" s="1"/>
  <c r="T45" i="8" s="1"/>
  <c r="I18" i="12"/>
  <c r="G22" i="13"/>
  <c r="E23" i="13"/>
  <c r="D23" i="13"/>
  <c r="B22" i="13"/>
  <c r="E4" i="13"/>
  <c r="N14" i="5"/>
  <c r="P14" i="5"/>
  <c r="Q14" i="5"/>
  <c r="R14" i="5"/>
  <c r="T14" i="8"/>
  <c r="T15" i="8"/>
  <c r="T16" i="8"/>
  <c r="T17" i="8"/>
  <c r="T18" i="8"/>
  <c r="T19" i="8"/>
  <c r="T42" i="8"/>
  <c r="T43" i="8"/>
  <c r="T49" i="8"/>
  <c r="T50" i="8"/>
  <c r="T51" i="8"/>
  <c r="T52" i="8"/>
  <c r="T66" i="8"/>
  <c r="H49" i="9"/>
  <c r="I49" i="9"/>
  <c r="H47" i="9"/>
  <c r="I47" i="9" s="1"/>
  <c r="H43" i="5"/>
  <c r="S19" i="5"/>
  <c r="S13" i="5"/>
  <c r="S12" i="5"/>
  <c r="S11" i="5"/>
  <c r="S9" i="5"/>
  <c r="T25" i="8" s="1"/>
  <c r="D25" i="8" s="1"/>
  <c r="I59" i="5"/>
  <c r="I15" i="3"/>
  <c r="I13" i="3"/>
  <c r="H13" i="3"/>
  <c r="H4" i="5" s="1"/>
  <c r="F11" i="9" s="1"/>
  <c r="R50" i="8"/>
  <c r="R51" i="8"/>
  <c r="R52" i="8"/>
  <c r="R49" i="8"/>
  <c r="S49" i="8"/>
  <c r="S50" i="8"/>
  <c r="S51" i="8"/>
  <c r="S52" i="8"/>
  <c r="R15" i="5"/>
  <c r="F77" i="7" s="1"/>
  <c r="I74" i="7"/>
  <c r="F33" i="7"/>
  <c r="H19" i="4"/>
  <c r="H18" i="4"/>
  <c r="H17" i="4"/>
  <c r="H16" i="4"/>
  <c r="H38" i="4"/>
  <c r="H40" i="4" s="1"/>
  <c r="F43" i="7" s="1"/>
  <c r="H24" i="4"/>
  <c r="H30" i="4" s="1"/>
  <c r="S56" i="8" s="1"/>
  <c r="H27" i="4"/>
  <c r="H26" i="4"/>
  <c r="H25" i="4"/>
  <c r="H31" i="4" s="1"/>
  <c r="G19" i="4"/>
  <c r="G18" i="4"/>
  <c r="G17" i="4"/>
  <c r="G16" i="4"/>
  <c r="H14" i="4"/>
  <c r="H32" i="4"/>
  <c r="S58" i="8" s="1"/>
  <c r="G28" i="6"/>
  <c r="G25" i="6"/>
  <c r="S66" i="8" s="1"/>
  <c r="G13" i="6"/>
  <c r="G12" i="6"/>
  <c r="G14" i="6"/>
  <c r="G11" i="6"/>
  <c r="P14" i="13"/>
  <c r="Q14" i="13" s="1"/>
  <c r="P4" i="13"/>
  <c r="Q4" i="13" s="1"/>
  <c r="H42" i="9"/>
  <c r="I42" i="9" s="1"/>
  <c r="H38" i="9"/>
  <c r="I38" i="9" s="1"/>
  <c r="I30" i="9"/>
  <c r="H33" i="12"/>
  <c r="H9" i="12" s="1"/>
  <c r="S45" i="8" s="1"/>
  <c r="S43" i="8"/>
  <c r="S42" i="8"/>
  <c r="G15" i="3"/>
  <c r="S19" i="8"/>
  <c r="S18" i="8"/>
  <c r="S17" i="8"/>
  <c r="S16" i="8"/>
  <c r="S15" i="8"/>
  <c r="S14" i="8"/>
  <c r="P6" i="13"/>
  <c r="Q6" i="13"/>
  <c r="P8" i="13"/>
  <c r="Q8" i="13" s="1"/>
  <c r="P10" i="13"/>
  <c r="Q10" i="13"/>
  <c r="P12" i="13"/>
  <c r="Q12" i="13" s="1"/>
  <c r="P16" i="13"/>
  <c r="Q16" i="13" s="1"/>
  <c r="B21" i="13"/>
  <c r="J4" i="13" s="1"/>
  <c r="P7" i="13"/>
  <c r="Q7" i="13" s="1"/>
  <c r="G6" i="14"/>
  <c r="G3" i="14"/>
  <c r="G7" i="14"/>
  <c r="F41" i="7"/>
  <c r="A74" i="7"/>
  <c r="C78" i="7"/>
  <c r="C77" i="7"/>
  <c r="C76" i="7"/>
  <c r="C75" i="7"/>
  <c r="H59" i="5"/>
  <c r="J13" i="13"/>
  <c r="J11" i="13"/>
  <c r="P17" i="13"/>
  <c r="Q17" i="13" s="1"/>
  <c r="P13" i="13"/>
  <c r="Q13" i="13" s="1"/>
  <c r="P9" i="13"/>
  <c r="Q9" i="13" s="1"/>
  <c r="P5" i="13"/>
  <c r="Q5" i="13" s="1"/>
  <c r="P15" i="13"/>
  <c r="Q15" i="13" s="1"/>
  <c r="P11" i="13"/>
  <c r="Q11" i="13" s="1"/>
  <c r="S78" i="8" s="1"/>
  <c r="H39" i="12"/>
  <c r="H8" i="12" s="1"/>
  <c r="F8" i="9"/>
  <c r="H42" i="5" s="1"/>
  <c r="R8" i="5"/>
  <c r="S24" i="8" s="1"/>
  <c r="R12" i="5"/>
  <c r="S28" i="8" s="1"/>
  <c r="R13" i="5"/>
  <c r="S29" i="8" s="1"/>
  <c r="R19" i="5"/>
  <c r="Q12" i="5"/>
  <c r="R28" i="8" s="1"/>
  <c r="G14" i="4"/>
  <c r="H18" i="12"/>
  <c r="R9" i="5"/>
  <c r="S25" i="8" s="1"/>
  <c r="R11" i="5"/>
  <c r="R10" i="5"/>
  <c r="H65" i="4"/>
  <c r="C58" i="4"/>
  <c r="C62" i="4" s="1"/>
  <c r="D58" i="4"/>
  <c r="D64" i="4" s="1"/>
  <c r="G13" i="3"/>
  <c r="G20" i="3" s="1"/>
  <c r="C63" i="4"/>
  <c r="C61" i="4"/>
  <c r="S27" i="8"/>
  <c r="E8" i="9"/>
  <c r="G42" i="5" s="1"/>
  <c r="Q8" i="5" s="1"/>
  <c r="F15" i="6"/>
  <c r="F3" i="6" s="1"/>
  <c r="F8" i="6" s="1"/>
  <c r="F19" i="6" s="1"/>
  <c r="F26" i="6" s="1"/>
  <c r="Q9" i="8"/>
  <c r="P9" i="8"/>
  <c r="R9" i="8"/>
  <c r="G26" i="6"/>
  <c r="G27" i="6"/>
  <c r="G22" i="6"/>
  <c r="G23" i="6" s="1"/>
  <c r="G34" i="6" s="1"/>
  <c r="B20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G21" i="3"/>
  <c r="E15" i="3"/>
  <c r="D15" i="3"/>
  <c r="F15" i="3"/>
  <c r="E33" i="7"/>
  <c r="G39" i="12"/>
  <c r="G8" i="12" s="1"/>
  <c r="R44" i="8" s="1"/>
  <c r="G33" i="12"/>
  <c r="G9" i="12" s="1"/>
  <c r="R45" i="8" s="1"/>
  <c r="H41" i="9"/>
  <c r="I41" i="9"/>
  <c r="H40" i="9"/>
  <c r="I40" i="9" s="1"/>
  <c r="H39" i="9"/>
  <c r="I39" i="9" s="1"/>
  <c r="D8" i="9"/>
  <c r="C8" i="9"/>
  <c r="C5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R20" i="8" s="1"/>
  <c r="Q14" i="8"/>
  <c r="Q20" i="8" s="1"/>
  <c r="P14" i="8"/>
  <c r="P20" i="8" s="1"/>
  <c r="O14" i="8"/>
  <c r="O20" i="8" s="1"/>
  <c r="D13" i="3"/>
  <c r="D20" i="12" s="1"/>
  <c r="F13" i="3"/>
  <c r="F20" i="12" s="1"/>
  <c r="E13" i="3"/>
  <c r="E20" i="12" s="1"/>
  <c r="D59" i="5"/>
  <c r="Q52" i="8"/>
  <c r="P52" i="8"/>
  <c r="Q51" i="8"/>
  <c r="P51" i="8"/>
  <c r="Q50" i="8"/>
  <c r="P50" i="8"/>
  <c r="Q49" i="8"/>
  <c r="P49" i="8"/>
  <c r="H58" i="4"/>
  <c r="G58" i="4"/>
  <c r="G65" i="4" s="1"/>
  <c r="F58" i="4"/>
  <c r="F63" i="4" s="1"/>
  <c r="E58" i="4"/>
  <c r="E65" i="4" s="1"/>
  <c r="Q45" i="8"/>
  <c r="Q44" i="8"/>
  <c r="P44" i="8"/>
  <c r="R43" i="8"/>
  <c r="Q43" i="8"/>
  <c r="P43" i="8"/>
  <c r="R42" i="8"/>
  <c r="Q42" i="8"/>
  <c r="P42" i="8"/>
  <c r="P45" i="8"/>
  <c r="P25" i="8"/>
  <c r="P26" i="8"/>
  <c r="P27" i="8"/>
  <c r="P28" i="8"/>
  <c r="P29" i="8"/>
  <c r="P24" i="8"/>
  <c r="C27" i="4"/>
  <c r="C33" i="4" s="1"/>
  <c r="C26" i="4"/>
  <c r="C32" i="4" s="1"/>
  <c r="C25" i="4"/>
  <c r="C31" i="4" s="1"/>
  <c r="C24" i="4"/>
  <c r="C19" i="4"/>
  <c r="C18" i="4"/>
  <c r="C17" i="4"/>
  <c r="C16" i="4"/>
  <c r="C14" i="4"/>
  <c r="D34" i="6"/>
  <c r="P68" i="8" s="1"/>
  <c r="D15" i="6"/>
  <c r="E64" i="4"/>
  <c r="G61" i="4"/>
  <c r="G64" i="4"/>
  <c r="G63" i="4"/>
  <c r="G62" i="4"/>
  <c r="P72" i="8"/>
  <c r="P71" i="8"/>
  <c r="Q71" i="8"/>
  <c r="Q72" i="8"/>
  <c r="F53" i="7"/>
  <c r="N17" i="5"/>
  <c r="D16" i="12" s="1"/>
  <c r="N15" i="5"/>
  <c r="D7" i="6"/>
  <c r="D5" i="6"/>
  <c r="D4" i="6"/>
  <c r="D18" i="12"/>
  <c r="F10" i="12"/>
  <c r="F17" i="12" s="1"/>
  <c r="E10" i="12"/>
  <c r="E17" i="12"/>
  <c r="D10" i="12"/>
  <c r="D17" i="12" s="1"/>
  <c r="E5" i="12"/>
  <c r="F5" i="12"/>
  <c r="G5" i="12" s="1"/>
  <c r="E18" i="12"/>
  <c r="G18" i="12"/>
  <c r="F18" i="12"/>
  <c r="G4" i="5"/>
  <c r="E13" i="9" s="1"/>
  <c r="F4" i="5"/>
  <c r="D13" i="9" s="1"/>
  <c r="D33" i="7"/>
  <c r="G38" i="4"/>
  <c r="G40" i="4" s="1"/>
  <c r="E43" i="7" s="1"/>
  <c r="F38" i="4"/>
  <c r="E38" i="4"/>
  <c r="E40" i="4" s="1"/>
  <c r="D43" i="7" s="1"/>
  <c r="D38" i="4"/>
  <c r="C38" i="4" s="1"/>
  <c r="C40" i="4" s="1"/>
  <c r="E8" i="6"/>
  <c r="D20" i="6" s="1"/>
  <c r="D27" i="6" s="1"/>
  <c r="E23" i="9"/>
  <c r="E24" i="9"/>
  <c r="E25" i="9"/>
  <c r="E26" i="9"/>
  <c r="E22" i="9"/>
  <c r="D23" i="9"/>
  <c r="D24" i="9"/>
  <c r="D25" i="9"/>
  <c r="D26" i="9"/>
  <c r="D22" i="9"/>
  <c r="I27" i="9"/>
  <c r="H34" i="9"/>
  <c r="I34" i="9" s="1"/>
  <c r="H33" i="9"/>
  <c r="I33" i="9" s="1"/>
  <c r="H32" i="9"/>
  <c r="I32" i="9" s="1"/>
  <c r="H31" i="9"/>
  <c r="I31" i="9"/>
  <c r="C15" i="8"/>
  <c r="N15" i="8" s="1"/>
  <c r="C16" i="8"/>
  <c r="C17" i="8"/>
  <c r="C18" i="8"/>
  <c r="N18" i="8" s="1"/>
  <c r="C19" i="8"/>
  <c r="N19" i="8" s="1"/>
  <c r="C20" i="8"/>
  <c r="N20" i="8" s="1"/>
  <c r="C14" i="8"/>
  <c r="G59" i="5"/>
  <c r="F59" i="5"/>
  <c r="E59" i="5"/>
  <c r="E52" i="5"/>
  <c r="F52" i="5" s="1"/>
  <c r="G52" i="5" s="1"/>
  <c r="H52" i="5" s="1"/>
  <c r="I52" i="5" s="1"/>
  <c r="J52" i="5" s="1"/>
  <c r="K52" i="5" s="1"/>
  <c r="C52" i="7"/>
  <c r="P7" i="8"/>
  <c r="O17" i="5"/>
  <c r="E16" i="12" s="1"/>
  <c r="L28" i="7"/>
  <c r="K26" i="7"/>
  <c r="K25" i="7"/>
  <c r="P8" i="5"/>
  <c r="Q24" i="8" s="1"/>
  <c r="G43" i="5"/>
  <c r="Q15" i="5"/>
  <c r="F69" i="7" s="1"/>
  <c r="Q13" i="5"/>
  <c r="R29" i="8" s="1"/>
  <c r="Q11" i="5"/>
  <c r="R27" i="8" s="1"/>
  <c r="Q10" i="5"/>
  <c r="R26" i="8" s="1"/>
  <c r="Q9" i="5"/>
  <c r="Q19" i="5"/>
  <c r="P19" i="5"/>
  <c r="A43" i="7"/>
  <c r="A44" i="7"/>
  <c r="A45" i="7"/>
  <c r="A42" i="7"/>
  <c r="C70" i="7"/>
  <c r="C69" i="7"/>
  <c r="C68" i="7"/>
  <c r="C67" i="7"/>
  <c r="A63" i="7"/>
  <c r="A71" i="7" s="1"/>
  <c r="A79" i="7" s="1"/>
  <c r="A87" i="7" s="1"/>
  <c r="A95" i="7" s="1"/>
  <c r="A104" i="7" s="1"/>
  <c r="C62" i="7"/>
  <c r="A62" i="7"/>
  <c r="A70" i="7" s="1"/>
  <c r="A78" i="7" s="1"/>
  <c r="A86" i="7" s="1"/>
  <c r="A94" i="7" s="1"/>
  <c r="A103" i="7" s="1"/>
  <c r="C61" i="7"/>
  <c r="A61" i="7"/>
  <c r="A69" i="7"/>
  <c r="A77" i="7" s="1"/>
  <c r="A85" i="7" s="1"/>
  <c r="A93" i="7" s="1"/>
  <c r="A102" i="7" s="1"/>
  <c r="C60" i="7"/>
  <c r="A60" i="7"/>
  <c r="A68" i="7" s="1"/>
  <c r="A76" i="7" s="1"/>
  <c r="A84" i="7" s="1"/>
  <c r="A92" i="7" s="1"/>
  <c r="A101" i="7" s="1"/>
  <c r="C59" i="7"/>
  <c r="A59" i="7"/>
  <c r="A67" i="7" s="1"/>
  <c r="A75" i="7" s="1"/>
  <c r="A83" i="7" s="1"/>
  <c r="A91" i="7" s="1"/>
  <c r="A100" i="7" s="1"/>
  <c r="C54" i="7"/>
  <c r="C53" i="7"/>
  <c r="C51" i="7"/>
  <c r="C55" i="7" s="1"/>
  <c r="L29" i="7"/>
  <c r="E1" i="7"/>
  <c r="E41" i="7" s="1"/>
  <c r="D1" i="7"/>
  <c r="I58" i="7" s="1"/>
  <c r="C1" i="7"/>
  <c r="A50" i="7" s="1"/>
  <c r="B24" i="4"/>
  <c r="B25" i="4" s="1"/>
  <c r="B26" i="4" s="1"/>
  <c r="B27" i="4" s="1"/>
  <c r="B28" i="4" s="1"/>
  <c r="B40" i="4" s="1"/>
  <c r="B31" i="4"/>
  <c r="B32" i="4"/>
  <c r="B33" i="4" s="1"/>
  <c r="B34" i="4" s="1"/>
  <c r="B17" i="4"/>
  <c r="B18" i="4" s="1"/>
  <c r="B19" i="4" s="1"/>
  <c r="B20" i="4" s="1"/>
  <c r="F13" i="4"/>
  <c r="F27" i="4" s="1"/>
  <c r="F33" i="4" s="1"/>
  <c r="Q59" i="8" s="1"/>
  <c r="F12" i="4"/>
  <c r="F26" i="4" s="1"/>
  <c r="F32" i="4" s="1"/>
  <c r="Q58" i="8" s="1"/>
  <c r="F11" i="4"/>
  <c r="F25" i="4" s="1"/>
  <c r="F31" i="4" s="1"/>
  <c r="Q57" i="8" s="1"/>
  <c r="F10" i="4"/>
  <c r="F24" i="4" s="1"/>
  <c r="F30" i="4" s="1"/>
  <c r="Q56" i="8" s="1"/>
  <c r="A34" i="4"/>
  <c r="A28" i="4"/>
  <c r="A27" i="4"/>
  <c r="A26" i="4"/>
  <c r="A25" i="4"/>
  <c r="A19" i="4"/>
  <c r="A33" i="4" s="1"/>
  <c r="A18" i="4"/>
  <c r="A32" i="4" s="1"/>
  <c r="A17" i="4"/>
  <c r="A31" i="4" s="1"/>
  <c r="A16" i="4"/>
  <c r="A30" i="4" s="1"/>
  <c r="D21" i="6"/>
  <c r="G24" i="4"/>
  <c r="G30" i="4" s="1"/>
  <c r="R56" i="8" s="1"/>
  <c r="G25" i="4"/>
  <c r="G31" i="4" s="1"/>
  <c r="G26" i="4"/>
  <c r="G27" i="4"/>
  <c r="G33" i="4" s="1"/>
  <c r="R59" i="8" s="1"/>
  <c r="F16" i="6"/>
  <c r="E2" i="6"/>
  <c r="F2" i="6" s="1"/>
  <c r="G2" i="6" s="1"/>
  <c r="H2" i="6" s="1"/>
  <c r="I2" i="6" s="1"/>
  <c r="J2" i="6" s="1"/>
  <c r="C12" i="6"/>
  <c r="C13" i="6" s="1"/>
  <c r="C14" i="6" s="1"/>
  <c r="C15" i="6" s="1"/>
  <c r="C19" i="6"/>
  <c r="C20" i="6" s="1"/>
  <c r="C21" i="6" s="1"/>
  <c r="C22" i="6" s="1"/>
  <c r="C26" i="6"/>
  <c r="C27" i="6" s="1"/>
  <c r="C28" i="6" s="1"/>
  <c r="C29" i="6" s="1"/>
  <c r="C32" i="6" s="1"/>
  <c r="E15" i="6"/>
  <c r="D19" i="6" s="1"/>
  <c r="D26" i="6" s="1"/>
  <c r="F43" i="5"/>
  <c r="D25" i="4"/>
  <c r="D31" i="4" s="1"/>
  <c r="P57" i="8" s="1"/>
  <c r="E25" i="4"/>
  <c r="E31" i="4" s="1"/>
  <c r="D26" i="4"/>
  <c r="E26" i="4"/>
  <c r="E32" i="4" s="1"/>
  <c r="D27" i="4"/>
  <c r="D33" i="4" s="1"/>
  <c r="P59" i="8" s="1"/>
  <c r="E27" i="4"/>
  <c r="E33" i="4" s="1"/>
  <c r="E24" i="4"/>
  <c r="E30" i="4" s="1"/>
  <c r="D24" i="4"/>
  <c r="D30" i="4" s="1"/>
  <c r="E19" i="4"/>
  <c r="D19" i="4"/>
  <c r="E18" i="4"/>
  <c r="D18" i="4"/>
  <c r="E17" i="4"/>
  <c r="D17" i="4"/>
  <c r="E16" i="4"/>
  <c r="E20" i="4" s="1"/>
  <c r="D16" i="4"/>
  <c r="E14" i="4"/>
  <c r="D14" i="4"/>
  <c r="P15" i="5"/>
  <c r="F61" i="7" s="1"/>
  <c r="P9" i="5"/>
  <c r="Q25" i="8" s="1"/>
  <c r="P10" i="5"/>
  <c r="Q26" i="8" s="1"/>
  <c r="P11" i="5"/>
  <c r="P12" i="5"/>
  <c r="Q28" i="8" s="1"/>
  <c r="P13" i="5"/>
  <c r="Q29" i="8" s="1"/>
  <c r="Q27" i="8"/>
  <c r="R25" i="8"/>
  <c r="I66" i="7"/>
  <c r="D28" i="6"/>
  <c r="E16" i="6"/>
  <c r="E18" i="6"/>
  <c r="E21" i="6"/>
  <c r="E28" i="6" s="1"/>
  <c r="R57" i="8"/>
  <c r="D53" i="7" l="1"/>
  <c r="D54" i="7"/>
  <c r="G28" i="4"/>
  <c r="E19" i="6"/>
  <c r="E26" i="6" s="1"/>
  <c r="F17" i="4"/>
  <c r="C71" i="7"/>
  <c r="G20" i="12"/>
  <c r="F64" i="4"/>
  <c r="G29" i="6"/>
  <c r="G32" i="6" s="1"/>
  <c r="J12" i="13"/>
  <c r="J14" i="13"/>
  <c r="C79" i="7"/>
  <c r="D76" i="7" s="1"/>
  <c r="I28" i="4"/>
  <c r="E63" i="4"/>
  <c r="J6" i="13"/>
  <c r="E20" i="6"/>
  <c r="E27" i="6" s="1"/>
  <c r="J16" i="13"/>
  <c r="G20" i="4"/>
  <c r="R64" i="8" s="1"/>
  <c r="R6" i="8" s="1"/>
  <c r="T9" i="8"/>
  <c r="B42" i="4"/>
  <c r="B45" i="7" s="1"/>
  <c r="B43" i="7"/>
  <c r="S44" i="8"/>
  <c r="H10" i="12"/>
  <c r="H17" i="12" s="1"/>
  <c r="F74" i="9"/>
  <c r="F101" i="9"/>
  <c r="D69" i="7"/>
  <c r="D70" i="7"/>
  <c r="T24" i="8"/>
  <c r="D24" i="8" s="1"/>
  <c r="S17" i="5"/>
  <c r="I16" i="12" s="1"/>
  <c r="W44" i="8"/>
  <c r="D44" i="8"/>
  <c r="V46" i="8"/>
  <c r="D52" i="7"/>
  <c r="D67" i="7"/>
  <c r="D71" i="7" s="1"/>
  <c r="E69" i="7" s="1"/>
  <c r="D51" i="7"/>
  <c r="D42" i="4"/>
  <c r="C45" i="7" s="1"/>
  <c r="D68" i="7"/>
  <c r="D11" i="9"/>
  <c r="K23" i="9"/>
  <c r="E4" i="5"/>
  <c r="C11" i="9" s="1"/>
  <c r="F62" i="4"/>
  <c r="Q46" i="8"/>
  <c r="W57" i="8"/>
  <c r="D57" i="8"/>
  <c r="W56" i="8"/>
  <c r="D56" i="8"/>
  <c r="J46" i="5"/>
  <c r="T8" i="5"/>
  <c r="I46" i="5"/>
  <c r="D63" i="8"/>
  <c r="V5" i="8"/>
  <c r="C63" i="7"/>
  <c r="C20" i="4"/>
  <c r="P64" i="8" s="1"/>
  <c r="P6" i="8" s="1"/>
  <c r="C28" i="4"/>
  <c r="F100" i="9"/>
  <c r="F73" i="9"/>
  <c r="K32" i="4"/>
  <c r="V58" i="8" s="1"/>
  <c r="K42" i="4"/>
  <c r="I45" i="7" s="1"/>
  <c r="I47" i="7" s="1"/>
  <c r="L21" i="6"/>
  <c r="F93" i="7"/>
  <c r="F102" i="7"/>
  <c r="J34" i="4"/>
  <c r="U58" i="8"/>
  <c r="E34" i="4"/>
  <c r="W45" i="8"/>
  <c r="D45" i="8"/>
  <c r="J4" i="5"/>
  <c r="T22" i="5" s="1"/>
  <c r="U34" i="8" s="1"/>
  <c r="L13" i="3"/>
  <c r="J20" i="12"/>
  <c r="M13" i="3"/>
  <c r="E42" i="4"/>
  <c r="D45" i="7" s="1"/>
  <c r="D47" i="7" s="1"/>
  <c r="L60" i="7" s="1"/>
  <c r="D20" i="4"/>
  <c r="C102" i="9"/>
  <c r="G10" i="12"/>
  <c r="G17" i="12" s="1"/>
  <c r="F61" i="4"/>
  <c r="X16" i="8"/>
  <c r="W16" i="8"/>
  <c r="F100" i="7"/>
  <c r="F101" i="7"/>
  <c r="I101" i="7" s="1"/>
  <c r="V70" i="8"/>
  <c r="I102" i="9"/>
  <c r="K10" i="12"/>
  <c r="K17" i="12" s="1"/>
  <c r="K21" i="12" s="1"/>
  <c r="K23" i="12" s="1"/>
  <c r="K24" i="12" s="1"/>
  <c r="K24" i="9"/>
  <c r="K25" i="9"/>
  <c r="K26" i="9"/>
  <c r="I59" i="9"/>
  <c r="I35" i="9"/>
  <c r="K22" i="9"/>
  <c r="I51" i="9"/>
  <c r="U20" i="8"/>
  <c r="W20" i="8" s="1"/>
  <c r="I23" i="6"/>
  <c r="I34" i="6" s="1"/>
  <c r="C12" i="9"/>
  <c r="Q27" i="5"/>
  <c r="O28" i="5"/>
  <c r="C14" i="9"/>
  <c r="T20" i="8"/>
  <c r="R20" i="5"/>
  <c r="S32" i="8" s="1"/>
  <c r="P22" i="5"/>
  <c r="Q34" i="8" s="1"/>
  <c r="G53" i="7"/>
  <c r="I53" i="7" s="1"/>
  <c r="O27" i="5"/>
  <c r="R17" i="5"/>
  <c r="H16" i="12" s="1"/>
  <c r="S20" i="8"/>
  <c r="D26" i="8"/>
  <c r="S9" i="8"/>
  <c r="P30" i="8"/>
  <c r="P46" i="8"/>
  <c r="P20" i="5"/>
  <c r="Q32" i="8" s="1"/>
  <c r="R28" i="5"/>
  <c r="R27" i="5"/>
  <c r="B24" i="13"/>
  <c r="E58" i="13" s="1"/>
  <c r="F58" i="13" s="1"/>
  <c r="P27" i="5"/>
  <c r="R24" i="5"/>
  <c r="S36" i="8" s="1"/>
  <c r="D40" i="4"/>
  <c r="C43" i="7" s="1"/>
  <c r="F13" i="9"/>
  <c r="P28" i="5"/>
  <c r="P23" i="5"/>
  <c r="Q35" i="8" s="1"/>
  <c r="R26" i="5"/>
  <c r="F14" i="9"/>
  <c r="H20" i="12"/>
  <c r="P24" i="5"/>
  <c r="Q36" i="8" s="1"/>
  <c r="P26" i="5"/>
  <c r="G61" i="7"/>
  <c r="I61" i="7" s="1"/>
  <c r="R25" i="5"/>
  <c r="S37" i="8" s="1"/>
  <c r="R22" i="5"/>
  <c r="S34" i="8" s="1"/>
  <c r="F12" i="9"/>
  <c r="G77" i="7"/>
  <c r="I77" i="7" s="1"/>
  <c r="P21" i="5"/>
  <c r="Q33" i="8" s="1"/>
  <c r="D14" i="9"/>
  <c r="D4" i="5"/>
  <c r="N26" i="5" s="1"/>
  <c r="H20" i="3"/>
  <c r="R23" i="5"/>
  <c r="S35" i="8" s="1"/>
  <c r="Q23" i="5"/>
  <c r="R35" i="8" s="1"/>
  <c r="Q28" i="5"/>
  <c r="E12" i="9"/>
  <c r="N21" i="5"/>
  <c r="Q26" i="5"/>
  <c r="Q22" i="5"/>
  <c r="R34" i="8" s="1"/>
  <c r="Q21" i="5"/>
  <c r="R33" i="8" s="1"/>
  <c r="N27" i="5"/>
  <c r="N23" i="5"/>
  <c r="K20" i="4"/>
  <c r="V64" i="8" s="1"/>
  <c r="Q24" i="5"/>
  <c r="R36" i="8" s="1"/>
  <c r="Q25" i="5"/>
  <c r="R37" i="8" s="1"/>
  <c r="G42" i="4"/>
  <c r="E45" i="7" s="1"/>
  <c r="E47" i="7" s="1"/>
  <c r="D21" i="12"/>
  <c r="N24" i="5"/>
  <c r="K28" i="4"/>
  <c r="Q30" i="4" s="1"/>
  <c r="Q60" i="8"/>
  <c r="C47" i="7"/>
  <c r="L52" i="7" s="1"/>
  <c r="F42" i="4"/>
  <c r="A58" i="7"/>
  <c r="C65" i="4"/>
  <c r="H33" i="4"/>
  <c r="S59" i="8" s="1"/>
  <c r="D32" i="4"/>
  <c r="P58" i="8" s="1"/>
  <c r="C41" i="7"/>
  <c r="D61" i="4"/>
  <c r="F14" i="4"/>
  <c r="F19" i="4"/>
  <c r="E61" i="4"/>
  <c r="D28" i="4"/>
  <c r="I50" i="7"/>
  <c r="D41" i="7"/>
  <c r="G32" i="4"/>
  <c r="E62" i="4"/>
  <c r="D65" i="4"/>
  <c r="K33" i="4"/>
  <c r="V59" i="8" s="1"/>
  <c r="P56" i="8"/>
  <c r="E21" i="12"/>
  <c r="Q17" i="5"/>
  <c r="G16" i="12" s="1"/>
  <c r="G21" i="12" s="1"/>
  <c r="Q20" i="5"/>
  <c r="R24" i="8"/>
  <c r="R30" i="8" s="1"/>
  <c r="F68" i="7"/>
  <c r="I68" i="7" s="1"/>
  <c r="P25" i="5"/>
  <c r="Q37" i="8" s="1"/>
  <c r="F18" i="6"/>
  <c r="F34" i="4"/>
  <c r="F28" i="4"/>
  <c r="E22" i="6"/>
  <c r="E23" i="6" s="1"/>
  <c r="E34" i="6" s="1"/>
  <c r="Q68" i="8" s="1"/>
  <c r="E25" i="6"/>
  <c r="Q30" i="8"/>
  <c r="G33" i="6"/>
  <c r="S68" i="8"/>
  <c r="R46" i="8"/>
  <c r="T27" i="8"/>
  <c r="D27" i="8" s="1"/>
  <c r="P17" i="5"/>
  <c r="F16" i="12" s="1"/>
  <c r="F21" i="12" s="1"/>
  <c r="F16" i="4"/>
  <c r="D18" i="6"/>
  <c r="A66" i="7"/>
  <c r="O25" i="5"/>
  <c r="P37" i="8" s="1"/>
  <c r="O26" i="5"/>
  <c r="O23" i="5"/>
  <c r="P35" i="8" s="1"/>
  <c r="D12" i="9"/>
  <c r="C42" i="4"/>
  <c r="C13" i="9"/>
  <c r="O20" i="5"/>
  <c r="E11" i="9"/>
  <c r="F65" i="4"/>
  <c r="G15" i="6"/>
  <c r="F20" i="6"/>
  <c r="F27" i="6" s="1"/>
  <c r="F21" i="6"/>
  <c r="F28" i="6" s="1"/>
  <c r="F4" i="6"/>
  <c r="S26" i="8"/>
  <c r="S30" i="8" s="1"/>
  <c r="F36" i="7"/>
  <c r="S57" i="8"/>
  <c r="T28" i="8"/>
  <c r="T68" i="8"/>
  <c r="C30" i="4"/>
  <c r="C34" i="4" s="1"/>
  <c r="R21" i="5"/>
  <c r="D63" i="4"/>
  <c r="D62" i="4"/>
  <c r="J8" i="13"/>
  <c r="J9" i="13"/>
  <c r="J10" i="13"/>
  <c r="J7" i="13"/>
  <c r="J17" i="13"/>
  <c r="S46" i="8"/>
  <c r="H28" i="4"/>
  <c r="T29" i="8"/>
  <c r="H23" i="6"/>
  <c r="H34" i="6" s="1"/>
  <c r="H33" i="6" s="1"/>
  <c r="H15" i="6"/>
  <c r="D59" i="7"/>
  <c r="E28" i="4"/>
  <c r="F18" i="4"/>
  <c r="F40" i="4"/>
  <c r="G69" i="7"/>
  <c r="I69" i="7" s="1"/>
  <c r="O21" i="5"/>
  <c r="P33" i="8" s="1"/>
  <c r="O24" i="5"/>
  <c r="P36" i="8" s="1"/>
  <c r="O22" i="5"/>
  <c r="P34" i="8" s="1"/>
  <c r="E14" i="9"/>
  <c r="N28" i="5"/>
  <c r="I43" i="9"/>
  <c r="C64" i="4"/>
  <c r="J15" i="13"/>
  <c r="J5" i="13"/>
  <c r="H42" i="4"/>
  <c r="F45" i="7" s="1"/>
  <c r="F47" i="7" s="1"/>
  <c r="H20" i="4"/>
  <c r="S64" i="8" s="1"/>
  <c r="S6" i="8" s="1"/>
  <c r="I4" i="5"/>
  <c r="I20" i="12"/>
  <c r="H14" i="9"/>
  <c r="H12" i="9"/>
  <c r="I30" i="4"/>
  <c r="C87" i="7"/>
  <c r="D84" i="7" s="1"/>
  <c r="U9" i="8"/>
  <c r="W9" i="8" s="1"/>
  <c r="D9" i="8"/>
  <c r="X15" i="5"/>
  <c r="I10" i="12"/>
  <c r="I17" i="12" s="1"/>
  <c r="I42" i="4"/>
  <c r="G45" i="7" s="1"/>
  <c r="I32" i="4"/>
  <c r="W8" i="5"/>
  <c r="T24" i="5"/>
  <c r="U36" i="8" s="1"/>
  <c r="T46" i="8"/>
  <c r="B23" i="13"/>
  <c r="I16" i="6"/>
  <c r="I3" i="6"/>
  <c r="H36" i="7"/>
  <c r="U66" i="8"/>
  <c r="W66" i="8" s="1"/>
  <c r="I29" i="6"/>
  <c r="I32" i="6" s="1"/>
  <c r="T21" i="5"/>
  <c r="U33" i="8" s="1"/>
  <c r="U25" i="8"/>
  <c r="T17" i="5"/>
  <c r="C95" i="7"/>
  <c r="D92" i="7" s="1"/>
  <c r="E70" i="7" l="1"/>
  <c r="T25" i="5"/>
  <c r="U37" i="8" s="1"/>
  <c r="G93" i="7"/>
  <c r="I93" i="7" s="1"/>
  <c r="D75" i="7"/>
  <c r="D79" i="7" s="1"/>
  <c r="D77" i="7"/>
  <c r="T26" i="5"/>
  <c r="T27" i="5"/>
  <c r="H13" i="9"/>
  <c r="H15" i="9" s="1"/>
  <c r="H18" i="9" s="1"/>
  <c r="H11" i="9"/>
  <c r="T23" i="5"/>
  <c r="U35" i="8" s="1"/>
  <c r="T28" i="5"/>
  <c r="T43" i="5"/>
  <c r="H34" i="4"/>
  <c r="D78" i="7"/>
  <c r="F70" i="7"/>
  <c r="I70" i="7" s="1"/>
  <c r="I71" i="7" s="1"/>
  <c r="E32" i="7" s="1"/>
  <c r="E35" i="7" s="1"/>
  <c r="R65" i="8" s="1"/>
  <c r="D61" i="7"/>
  <c r="D60" i="7"/>
  <c r="F67" i="7"/>
  <c r="E68" i="7"/>
  <c r="E71" i="7" s="1"/>
  <c r="T20" i="5"/>
  <c r="T29" i="5" s="1"/>
  <c r="U24" i="8"/>
  <c r="W24" i="8" s="1"/>
  <c r="D55" i="7"/>
  <c r="S24" i="5"/>
  <c r="T36" i="8" s="1"/>
  <c r="D36" i="8" s="1"/>
  <c r="N33" i="5"/>
  <c r="D62" i="7"/>
  <c r="V6" i="8"/>
  <c r="D64" i="8"/>
  <c r="W64" i="8"/>
  <c r="E50" i="13"/>
  <c r="F50" i="13" s="1"/>
  <c r="E52" i="13"/>
  <c r="F52" i="13" s="1"/>
  <c r="D46" i="8"/>
  <c r="J16" i="12"/>
  <c r="J21" i="12" s="1"/>
  <c r="V17" i="5"/>
  <c r="W17" i="5"/>
  <c r="X8" i="5"/>
  <c r="Y8" i="5"/>
  <c r="Y20" i="5" s="1"/>
  <c r="E67" i="7"/>
  <c r="D59" i="8"/>
  <c r="W59" i="8"/>
  <c r="L62" i="7"/>
  <c r="L63" i="7" s="1"/>
  <c r="H21" i="12"/>
  <c r="D70" i="8"/>
  <c r="D7" i="8" s="1"/>
  <c r="V7" i="8"/>
  <c r="F103" i="7"/>
  <c r="I102" i="7"/>
  <c r="W58" i="8"/>
  <c r="D58" i="8"/>
  <c r="V60" i="8"/>
  <c r="C15" i="9"/>
  <c r="C18" i="9" s="1"/>
  <c r="E46" i="13"/>
  <c r="F46" i="13" s="1"/>
  <c r="E56" i="13"/>
  <c r="F56" i="13" s="1"/>
  <c r="E54" i="13"/>
  <c r="F54" i="13" s="1"/>
  <c r="E53" i="13"/>
  <c r="F53" i="13" s="1"/>
  <c r="E57" i="13"/>
  <c r="F57" i="13" s="1"/>
  <c r="E51" i="13"/>
  <c r="F51" i="13" s="1"/>
  <c r="E49" i="13"/>
  <c r="F49" i="13" s="1"/>
  <c r="E48" i="13"/>
  <c r="F48" i="13" s="1"/>
  <c r="E45" i="13"/>
  <c r="F45" i="13" s="1"/>
  <c r="E55" i="13"/>
  <c r="F55" i="13" s="1"/>
  <c r="E47" i="13"/>
  <c r="F47" i="13" s="1"/>
  <c r="D15" i="9"/>
  <c r="D18" i="9" s="1"/>
  <c r="F15" i="9"/>
  <c r="F18" i="9" s="1"/>
  <c r="L51" i="7"/>
  <c r="N22" i="5"/>
  <c r="N20" i="5"/>
  <c r="N25" i="5"/>
  <c r="Q38" i="8"/>
  <c r="L53" i="7"/>
  <c r="L54" i="7"/>
  <c r="P60" i="8"/>
  <c r="D34" i="4"/>
  <c r="G34" i="4"/>
  <c r="R58" i="8"/>
  <c r="R60" i="8" s="1"/>
  <c r="K34" i="4"/>
  <c r="S60" i="8"/>
  <c r="T34" i="5"/>
  <c r="I8" i="6"/>
  <c r="I4" i="6"/>
  <c r="D94" i="7"/>
  <c r="U32" i="8"/>
  <c r="W32" i="8" s="1"/>
  <c r="G3" i="6"/>
  <c r="G16" i="6"/>
  <c r="F20" i="4"/>
  <c r="Q64" i="8" s="1"/>
  <c r="Q6" i="8" s="1"/>
  <c r="U30" i="8"/>
  <c r="W30" i="8" s="1"/>
  <c r="E36" i="13"/>
  <c r="F36" i="13" s="1"/>
  <c r="E28" i="13"/>
  <c r="F28" i="13" s="1"/>
  <c r="E29" i="13"/>
  <c r="F29" i="13" s="1"/>
  <c r="E33" i="13"/>
  <c r="F33" i="13" s="1"/>
  <c r="E38" i="13"/>
  <c r="F38" i="13" s="1"/>
  <c r="E41" i="13"/>
  <c r="F41" i="13" s="1"/>
  <c r="E37" i="13"/>
  <c r="F37" i="13" s="1"/>
  <c r="E32" i="13"/>
  <c r="F32" i="13" s="1"/>
  <c r="E39" i="13"/>
  <c r="F39" i="13" s="1"/>
  <c r="E30" i="13"/>
  <c r="F30" i="13" s="1"/>
  <c r="E34" i="13"/>
  <c r="F34" i="13" s="1"/>
  <c r="E35" i="13"/>
  <c r="F35" i="13" s="1"/>
  <c r="E40" i="13"/>
  <c r="F40" i="13" s="1"/>
  <c r="E31" i="13"/>
  <c r="F31" i="13" s="1"/>
  <c r="S34" i="5"/>
  <c r="I21" i="12"/>
  <c r="W10" i="5"/>
  <c r="D91" i="7"/>
  <c r="D29" i="8"/>
  <c r="D93" i="7"/>
  <c r="D28" i="8"/>
  <c r="E29" i="6"/>
  <c r="E32" i="6" s="1"/>
  <c r="E33" i="6" s="1"/>
  <c r="D36" i="7"/>
  <c r="Q66" i="8" s="1"/>
  <c r="Q8" i="8" s="1"/>
  <c r="T58" i="8"/>
  <c r="D86" i="7"/>
  <c r="D83" i="7"/>
  <c r="D85" i="7"/>
  <c r="G14" i="9"/>
  <c r="G85" i="7"/>
  <c r="I85" i="7" s="1"/>
  <c r="G11" i="9"/>
  <c r="G12" i="9"/>
  <c r="G13" i="9"/>
  <c r="S26" i="5"/>
  <c r="S28" i="5"/>
  <c r="S20" i="5"/>
  <c r="N34" i="5"/>
  <c r="S21" i="5"/>
  <c r="T33" i="8" s="1"/>
  <c r="D33" i="8" s="1"/>
  <c r="S27" i="5"/>
  <c r="S22" i="5"/>
  <c r="T34" i="8" s="1"/>
  <c r="S25" i="5"/>
  <c r="T37" i="8" s="1"/>
  <c r="D37" i="8" s="1"/>
  <c r="W13" i="5"/>
  <c r="W12" i="5"/>
  <c r="E15" i="9"/>
  <c r="E18" i="9" s="1"/>
  <c r="W11" i="5"/>
  <c r="P29" i="5"/>
  <c r="U68" i="8"/>
  <c r="W68" i="8" s="1"/>
  <c r="I33" i="6"/>
  <c r="G47" i="7"/>
  <c r="I34" i="4"/>
  <c r="T56" i="8"/>
  <c r="W9" i="5"/>
  <c r="H3" i="6"/>
  <c r="H16" i="6"/>
  <c r="T30" i="8"/>
  <c r="S33" i="8"/>
  <c r="S38" i="8" s="1"/>
  <c r="R29" i="5"/>
  <c r="S23" i="5"/>
  <c r="T35" i="8" s="1"/>
  <c r="D35" i="8" s="1"/>
  <c r="P32" i="8"/>
  <c r="P38" i="8" s="1"/>
  <c r="O29" i="5"/>
  <c r="D22" i="6"/>
  <c r="D25" i="6"/>
  <c r="F71" i="7"/>
  <c r="F25" i="6"/>
  <c r="F22" i="6"/>
  <c r="F23" i="6" s="1"/>
  <c r="F34" i="6" s="1"/>
  <c r="Q29" i="5"/>
  <c r="R32" i="8"/>
  <c r="R38" i="8" s="1"/>
  <c r="U46" i="8"/>
  <c r="W46" i="8" s="1"/>
  <c r="E75" i="7" l="1"/>
  <c r="E78" i="7"/>
  <c r="D63" i="7"/>
  <c r="F62" i="7" s="1"/>
  <c r="I62" i="7" s="1"/>
  <c r="E62" i="7"/>
  <c r="H101" i="9"/>
  <c r="H74" i="9"/>
  <c r="E54" i="7"/>
  <c r="E53" i="7"/>
  <c r="F52" i="7"/>
  <c r="I52" i="7" s="1"/>
  <c r="F54" i="7"/>
  <c r="I54" i="7" s="1"/>
  <c r="E51" i="7"/>
  <c r="F51" i="7"/>
  <c r="E52" i="7"/>
  <c r="G100" i="9"/>
  <c r="G73" i="9"/>
  <c r="X12" i="5"/>
  <c r="Y12" i="5"/>
  <c r="Y24" i="5" s="1"/>
  <c r="G101" i="9"/>
  <c r="G74" i="9"/>
  <c r="X11" i="5"/>
  <c r="Y11" i="5"/>
  <c r="Y23" i="5" s="1"/>
  <c r="X10" i="5"/>
  <c r="Y10" i="5"/>
  <c r="Y22" i="5" s="1"/>
  <c r="Y30" i="5" s="1"/>
  <c r="X9" i="5"/>
  <c r="Y9" i="5"/>
  <c r="Y21" i="5" s="1"/>
  <c r="X13" i="5"/>
  <c r="Y13" i="5"/>
  <c r="Y25" i="5" s="1"/>
  <c r="H100" i="9"/>
  <c r="H73" i="9"/>
  <c r="D99" i="9"/>
  <c r="D72" i="9"/>
  <c r="D75" i="9" s="1"/>
  <c r="E99" i="9"/>
  <c r="R70" i="8" s="1"/>
  <c r="E72" i="9"/>
  <c r="E75" i="9" s="1"/>
  <c r="H99" i="9"/>
  <c r="U70" i="8" s="1"/>
  <c r="W70" i="8" s="1"/>
  <c r="H72" i="9"/>
  <c r="F99" i="9"/>
  <c r="F102" i="9" s="1"/>
  <c r="F72" i="9"/>
  <c r="F75" i="9" s="1"/>
  <c r="S24" i="12"/>
  <c r="U63" i="8"/>
  <c r="W63" i="8" s="1"/>
  <c r="J23" i="12"/>
  <c r="J24" i="12" s="1"/>
  <c r="D30" i="8"/>
  <c r="U6" i="8"/>
  <c r="W6" i="8" s="1"/>
  <c r="D6" i="8"/>
  <c r="L55" i="7"/>
  <c r="N29" i="5"/>
  <c r="D23" i="12" s="1"/>
  <c r="D24" i="12" s="1"/>
  <c r="U60" i="8"/>
  <c r="W60" i="8" s="1"/>
  <c r="G15" i="9"/>
  <c r="G18" i="9" s="1"/>
  <c r="T60" i="8"/>
  <c r="D60" i="8"/>
  <c r="E58" i="8" s="1"/>
  <c r="D87" i="7"/>
  <c r="E83" i="7" s="1"/>
  <c r="U5" i="8"/>
  <c r="W5" i="8" s="1"/>
  <c r="E76" i="7"/>
  <c r="F76" i="7"/>
  <c r="I76" i="7" s="1"/>
  <c r="E77" i="7"/>
  <c r="U38" i="8"/>
  <c r="W38" i="8" s="1"/>
  <c r="E23" i="12"/>
  <c r="E24" i="12" s="1"/>
  <c r="P63" i="8"/>
  <c r="H4" i="6"/>
  <c r="H8" i="6"/>
  <c r="F23" i="12"/>
  <c r="F24" i="12" s="1"/>
  <c r="Q63" i="8"/>
  <c r="R7" i="8"/>
  <c r="D34" i="8"/>
  <c r="S29" i="5"/>
  <c r="T63" i="8" s="1"/>
  <c r="T32" i="8"/>
  <c r="D32" i="8" s="1"/>
  <c r="D95" i="7"/>
  <c r="F104" i="7" s="1"/>
  <c r="E60" i="7"/>
  <c r="E61" i="7"/>
  <c r="E94" i="7"/>
  <c r="F78" i="7"/>
  <c r="I78" i="7" s="1"/>
  <c r="E36" i="7"/>
  <c r="R66" i="8"/>
  <c r="F29" i="6"/>
  <c r="F32" i="6" s="1"/>
  <c r="S63" i="8"/>
  <c r="H23" i="12"/>
  <c r="H24" i="12" s="1"/>
  <c r="G23" i="12"/>
  <c r="G24" i="12" s="1"/>
  <c r="R63" i="8"/>
  <c r="D29" i="6"/>
  <c r="D32" i="6" s="1"/>
  <c r="D33" i="6" s="1"/>
  <c r="C36" i="7"/>
  <c r="P66" i="8" s="1"/>
  <c r="P8" i="8" s="1"/>
  <c r="E85" i="7"/>
  <c r="E93" i="7"/>
  <c r="F75" i="7"/>
  <c r="G4" i="6"/>
  <c r="G8" i="6"/>
  <c r="H75" i="9" l="1"/>
  <c r="F60" i="7"/>
  <c r="I60" i="7" s="1"/>
  <c r="I63" i="7" s="1"/>
  <c r="D32" i="7" s="1"/>
  <c r="D35" i="7" s="1"/>
  <c r="F59" i="7"/>
  <c r="E59" i="7"/>
  <c r="E63" i="7" s="1"/>
  <c r="E102" i="9"/>
  <c r="E86" i="7"/>
  <c r="F91" i="7"/>
  <c r="E59" i="8"/>
  <c r="I55" i="7"/>
  <c r="C32" i="7" s="1"/>
  <c r="C35" i="7" s="1"/>
  <c r="E79" i="7"/>
  <c r="F55" i="7"/>
  <c r="E60" i="8"/>
  <c r="E56" i="8"/>
  <c r="E57" i="8"/>
  <c r="H102" i="9"/>
  <c r="F86" i="7"/>
  <c r="I86" i="7" s="1"/>
  <c r="E55" i="7"/>
  <c r="F94" i="7"/>
  <c r="G99" i="9"/>
  <c r="G72" i="9"/>
  <c r="G75" i="9" s="1"/>
  <c r="S70" i="8"/>
  <c r="S7" i="8" s="1"/>
  <c r="Q70" i="8"/>
  <c r="Q7" i="8" s="1"/>
  <c r="D102" i="9"/>
  <c r="I103" i="7"/>
  <c r="I104" i="7" s="1"/>
  <c r="I32" i="7" s="1"/>
  <c r="I23" i="12"/>
  <c r="I24" i="12" s="1"/>
  <c r="F79" i="7"/>
  <c r="F92" i="7"/>
  <c r="E92" i="7"/>
  <c r="U7" i="8"/>
  <c r="W7" i="8" s="1"/>
  <c r="S5" i="8"/>
  <c r="D38" i="8"/>
  <c r="T38" i="8"/>
  <c r="I79" i="7"/>
  <c r="F32" i="7" s="1"/>
  <c r="F35" i="7" s="1"/>
  <c r="S65" i="8" s="1"/>
  <c r="S8" i="8" s="1"/>
  <c r="R5" i="8"/>
  <c r="R68" i="8"/>
  <c r="R8" i="8" s="1"/>
  <c r="F33" i="6"/>
  <c r="T5" i="8"/>
  <c r="I94" i="7"/>
  <c r="E91" i="7"/>
  <c r="E95" i="7" s="1"/>
  <c r="Q5" i="8"/>
  <c r="P5" i="8"/>
  <c r="P10" i="8" s="1"/>
  <c r="P83" i="8"/>
  <c r="P84" i="8" s="1"/>
  <c r="P88" i="8" s="1"/>
  <c r="F63" i="7"/>
  <c r="E84" i="7"/>
  <c r="E87" i="7" s="1"/>
  <c r="F84" i="7"/>
  <c r="I84" i="7" s="1"/>
  <c r="I87" i="7" s="1"/>
  <c r="G32" i="7" s="1"/>
  <c r="G35" i="7" s="1"/>
  <c r="T65" i="8" s="1"/>
  <c r="T8" i="8" s="1"/>
  <c r="F83" i="7"/>
  <c r="Q10" i="8" l="1"/>
  <c r="Q83" i="8"/>
  <c r="Q84" i="8" s="1"/>
  <c r="Q88" i="8" s="1"/>
  <c r="I92" i="7"/>
  <c r="F95" i="7"/>
  <c r="I35" i="7"/>
  <c r="V65" i="8" s="1"/>
  <c r="D65" i="8" s="1"/>
  <c r="G102" i="9"/>
  <c r="T70" i="8"/>
  <c r="T7" i="8" s="1"/>
  <c r="F87" i="7"/>
  <c r="R83" i="8"/>
  <c r="S83" i="8"/>
  <c r="S10" i="8"/>
  <c r="I95" i="7"/>
  <c r="H32" i="7" s="1"/>
  <c r="H35" i="7" s="1"/>
  <c r="U65" i="8" s="1"/>
  <c r="R10" i="8"/>
  <c r="T83" i="8" l="1"/>
  <c r="W65" i="8"/>
  <c r="V83" i="8"/>
  <c r="V8" i="8"/>
  <c r="T10" i="8"/>
  <c r="T84" i="8"/>
  <c r="U8" i="8"/>
  <c r="U83" i="8"/>
  <c r="S84" i="8"/>
  <c r="R84" i="8"/>
  <c r="R88" i="8" s="1"/>
  <c r="R85" i="8"/>
  <c r="V10" i="8" l="1"/>
  <c r="W8" i="8"/>
  <c r="Z78" i="8"/>
  <c r="T88" i="8"/>
  <c r="Y78" i="8"/>
  <c r="S88" i="8"/>
  <c r="U84" i="8"/>
  <c r="U88" i="8" s="1"/>
  <c r="X83" i="8"/>
  <c r="W83" i="8"/>
  <c r="V84" i="8"/>
  <c r="U10" i="8"/>
  <c r="D8" i="8"/>
  <c r="D83" i="8"/>
  <c r="AA83" i="8"/>
  <c r="AA78" i="8" l="1"/>
  <c r="W10" i="8"/>
  <c r="W84" i="8"/>
  <c r="V88" i="8"/>
  <c r="X88" i="8" s="1"/>
  <c r="D84" i="8"/>
  <c r="AB78" i="8"/>
  <c r="D5" i="8" s="1"/>
  <c r="X64" i="8"/>
  <c r="X74" i="8"/>
  <c r="X79" i="8"/>
  <c r="X70" i="8"/>
  <c r="X77" i="8"/>
  <c r="X76" i="8"/>
  <c r="X81" i="8"/>
  <c r="X80" i="8"/>
  <c r="AA84" i="8"/>
  <c r="X67" i="8"/>
  <c r="X71" i="8"/>
  <c r="X78" i="8"/>
  <c r="X69" i="8"/>
  <c r="X68" i="8"/>
  <c r="X84" i="8"/>
  <c r="X66" i="8"/>
  <c r="X73" i="8"/>
  <c r="X75" i="8"/>
  <c r="X82" i="8"/>
  <c r="X72" i="8"/>
  <c r="X65" i="8"/>
  <c r="AA79" i="8" l="1"/>
  <c r="AA76" i="8"/>
  <c r="X63" i="8" s="1"/>
  <c r="D10" i="8" l="1"/>
  <c r="E9" i="8" l="1"/>
  <c r="E8" i="8"/>
  <c r="E7" i="8"/>
  <c r="E5" i="8"/>
  <c r="E6" i="8"/>
  <c r="E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jesper</author>
    <author>Joakim Larsen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FOLK1A: Folketal den 1. i kvartalet efter område, køn, alder og civilstand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FOLK1A: Folketal den 1. i kvartalet efter område, køn, alder og civilstand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Uden ækvivalenter
</t>
        </r>
      </text>
    </comment>
    <comment ref="E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Uden ækvivalenter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jesper</author>
  </authors>
  <commentList>
    <comment ref="AB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FOLK1A: Folketal den 1. i kvartalet efter område, køn, alder og civilstand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 Sperling</author>
    <author>jesper</author>
  </authors>
  <commentList>
    <comment ref="I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Jens Sperling:</t>
        </r>
        <r>
          <rPr>
            <sz val="9"/>
            <color indexed="81"/>
            <rFont val="Tahoma"/>
            <family val="2"/>
          </rPr>
          <t xml:space="preserve">
indgår i 'ind. Opvarmning' og ikke i elforbrug</t>
        </r>
      </text>
    </comment>
    <comment ref="I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Jens Sperling:</t>
        </r>
        <r>
          <rPr>
            <sz val="9"/>
            <color indexed="81"/>
            <rFont val="Tahoma"/>
            <family val="2"/>
          </rPr>
          <t xml:space="preserve">
indgår i 'ind. Opvarmning' og ikke i elforbrug</t>
        </r>
      </text>
    </comment>
    <comment ref="I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Jens Sperling:</t>
        </r>
        <r>
          <rPr>
            <sz val="9"/>
            <color indexed="81"/>
            <rFont val="Tahoma"/>
            <family val="2"/>
          </rPr>
          <t xml:space="preserve">
indgår i 'ind. Opvarmning' og ikke i elforbrug</t>
        </r>
      </text>
    </comment>
    <comment ref="V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midlertidigt tal til brug for inv. opvarmning</t>
        </r>
      </text>
    </comment>
    <comment ref="I4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Jens Sperling:</t>
        </r>
        <r>
          <rPr>
            <sz val="9"/>
            <color indexed="81"/>
            <rFont val="Tahoma"/>
            <family val="2"/>
          </rPr>
          <t xml:space="preserve">
En stor del af dette går til el-togsdrift, som indgår i 'trafik'. Kun en  mindre del går til stationsdrift jf. cellen nedenfor</t>
        </r>
      </text>
    </comment>
    <comment ref="I4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Jens Sperling:</t>
        </r>
        <r>
          <rPr>
            <sz val="9"/>
            <color indexed="81"/>
            <rFont val="Tahoma"/>
            <family val="2"/>
          </rPr>
          <t xml:space="preserve">
En residual, der </t>
        </r>
        <r>
          <rPr>
            <u/>
            <sz val="9"/>
            <color indexed="81"/>
            <rFont val="Tahoma"/>
            <family val="2"/>
          </rPr>
          <t>indgår</t>
        </r>
        <r>
          <rPr>
            <sz val="9"/>
            <color indexed="81"/>
            <rFont val="Tahoma"/>
            <family val="2"/>
          </rPr>
          <t xml:space="preserve"> i samlet el-forbrug. Er lig samlet el til togdrift (tog plus stationsdrift) fratrukket el til selve el-togene, der indgår i 'trafik'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Joakim Larsen</author>
  </authors>
  <commentList>
    <comment ref="E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OBS Der udsendes en korrektion på HOFORs hjemmeside med rettelse af 2012 emissionsfaktor fra 108 til 110 g/kWh.</t>
        </r>
      </text>
    </comment>
    <comment ref="F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Rettelse til tal for 2012. Skyldes samme ændring som påvirker CO2 faktoren for 2012. ændring fra 109 til 111 g/kWh.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Joakim Larsen</author>
    <author>jesper</author>
  </authors>
  <commentList>
    <comment ref="B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http://www.statistikbanken.dk/statbank5a/SelectVarVal/define.asp?MainTable=BOL102&amp;PLanguage=0&amp;Tabstrip=&amp;PXSId=0&amp;SessID=135854553&amp;FF=2&amp;grouping1=20075211125627864035&amp;tfrequency=1
</t>
        </r>
      </text>
    </comment>
    <comment ref="F5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36586.4
</t>
        </r>
      </text>
    </comment>
    <comment ref="L5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korrigeret for gas-/fuelolie
</t>
        </r>
      </text>
    </comment>
    <comment ref="F5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9754.7
</t>
        </r>
      </text>
    </comment>
    <comment ref="L6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Joakim Larsen:</t>
        </r>
        <r>
          <rPr>
            <sz val="9"/>
            <color indexed="81"/>
            <rFont val="Tahoma"/>
            <family val="2"/>
          </rPr>
          <t xml:space="preserve">
korrigeret for gas-/fuelolie
</t>
        </r>
      </text>
    </comment>
    <comment ref="F79" authorId="1" shapeId="0" xr:uid="{00000000-0006-0000-0500-000006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lig f43</t>
        </r>
      </text>
    </comment>
    <comment ref="F87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lig g43</t>
        </r>
      </text>
    </comment>
    <comment ref="F93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se note under elforsyning celle s15</t>
        </r>
      </text>
    </comment>
    <comment ref="F95" authorId="1" shapeId="0" xr:uid="{00000000-0006-0000-0500-000009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lig h43</t>
        </r>
      </text>
    </comment>
    <comment ref="F102" authorId="1" shapeId="0" xr:uid="{00000000-0006-0000-0500-00000A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se note under elforsyning celle s15</t>
        </r>
      </text>
    </comment>
    <comment ref="F104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jesper:</t>
        </r>
        <r>
          <rPr>
            <sz val="9"/>
            <color indexed="81"/>
            <rFont val="Tahoma"/>
            <family val="2"/>
          </rPr>
          <t xml:space="preserve">
lig I43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jesper</author>
  </authors>
  <commentList>
    <comment ref="H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Kan ikke opgøres længere, da kunder på fast pris afregnes uden måling af forbruget jf. mail fra Jakob Hansen (HOFOR) 4/3 2016</t>
        </r>
      </text>
    </comment>
    <comment ref="I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Kan ikke opgøres længere, da kunder på fast pris afregnes uden måling af forbruget jf. mail fra Jakob Hansen (HOFOR) 4/3 2016</t>
        </r>
      </text>
    </comment>
    <comment ref="J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Kan ikke opgøres længere, da kunder på fast pris afregnes uden måling af forbruget jf. mail fra Jakob Hansen (HOFOR) 4/3 2016</t>
        </r>
      </text>
    </comment>
    <comment ref="G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Faldet i emissionsfaktoren skyldes primært at vi er begyndt at bruge CO2-neutral biogas ved produktion af bygas</t>
        </r>
      </text>
    </comment>
    <comment ref="H6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Faldet i emissionsfaktoren skyldes primært at vi er begyndt at bruge CO2-neutral biogas ved produktion af bygas</t>
        </r>
      </text>
    </comment>
    <comment ref="I6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Faldet i emissionsfaktoren skyldes primært at vi er begyndt at bruge CO2-neutral biogas ved produktion af bygas</t>
        </r>
      </text>
    </comment>
    <comment ref="J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Faldet i emissionsfaktoren skyldes primært mere CO2-neutral biogas ved produktion af bygas</t>
        </r>
      </text>
    </comment>
    <comment ref="G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Brændværdien blev hævet med 7,5% pr. 1. januar 2014, så energiindholdet i én m3 bygas er nu 5,5 kWh.</t>
        </r>
      </text>
    </comment>
    <comment ref="H7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Brændværdien blev hævet med 7,5% pr. 1. januar 2014, så energiindholdet i én m3 bygas er nu 5,5 kWh.</t>
        </r>
      </text>
    </comment>
    <comment ref="I7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Brændværdien blev hævet med 7,5% pr. 1. januar 2014, så energiindholdet i én m3 bygas er nu 5,5 kWh.</t>
        </r>
      </text>
    </comment>
    <comment ref="J7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jesper:</t>
        </r>
        <r>
          <rPr>
            <sz val="8"/>
            <color indexed="81"/>
            <rFont val="Tahoma"/>
            <family val="2"/>
          </rPr>
          <t xml:space="preserve">
Brændværdien blev hævet med 7,5% pr. 1. januar 2014, så energiindholdet i én m3 bygas er nu 5,5 kWh.</t>
        </r>
      </text>
    </comment>
  </commentList>
</comments>
</file>

<file path=xl/sharedStrings.xml><?xml version="1.0" encoding="utf-8"?>
<sst xmlns="http://schemas.openxmlformats.org/spreadsheetml/2006/main" count="867" uniqueCount="323">
  <si>
    <t>Fjernvarme</t>
  </si>
  <si>
    <t>Fjernvarmeforbrug</t>
  </si>
  <si>
    <t>Industri</t>
  </si>
  <si>
    <t>Elforbrug</t>
  </si>
  <si>
    <t>Forbrug [kWh]</t>
  </si>
  <si>
    <t>Kategori</t>
  </si>
  <si>
    <t>Kommunale og andre offentlige</t>
  </si>
  <si>
    <t>Handel og service</t>
  </si>
  <si>
    <t>Private husholdninger</t>
  </si>
  <si>
    <t>Landbrug/gartneri</t>
  </si>
  <si>
    <t>Bygge og anlæg</t>
  </si>
  <si>
    <t>Sum forbrug [kWh]</t>
  </si>
  <si>
    <t>Elopvarmning</t>
  </si>
  <si>
    <t>Jernbaner m.v.</t>
  </si>
  <si>
    <t>[kg/MWh]</t>
  </si>
  <si>
    <t>CO₂ emissionsfaktor</t>
  </si>
  <si>
    <t>CO₂  [Ton]</t>
  </si>
  <si>
    <t>Emissionsfaktor for fjernvarme</t>
  </si>
  <si>
    <t>Ikke graddagekorrigeret</t>
  </si>
  <si>
    <t>Offentlige instutioner</t>
  </si>
  <si>
    <t>Handel &amp; service</t>
  </si>
  <si>
    <t>Boliger</t>
  </si>
  <si>
    <t xml:space="preserve">Industri  </t>
  </si>
  <si>
    <t>Graddagekorrigeret</t>
  </si>
  <si>
    <t>Individuel opvarmning</t>
  </si>
  <si>
    <t>GWh</t>
  </si>
  <si>
    <t>Antal boliger</t>
  </si>
  <si>
    <t>Antal boliger inkl. relative andele af uoplyste*1</t>
  </si>
  <si>
    <t>Andel af individuel opvarmning</t>
  </si>
  <si>
    <t>Estimeret varmeforbrug MWh/år</t>
  </si>
  <si>
    <t>Virknings-grad</t>
  </si>
  <si>
    <t>Naturgas</t>
  </si>
  <si>
    <t>Olie</t>
  </si>
  <si>
    <t>Elovn/elvarme</t>
  </si>
  <si>
    <t>Andre ovne (brændeovne mv.)</t>
  </si>
  <si>
    <t>I alt individuel opvarmning af boliger</t>
  </si>
  <si>
    <t>København</t>
  </si>
  <si>
    <t>Beboede boliger</t>
  </si>
  <si>
    <t>Centralvarme med olie</t>
  </si>
  <si>
    <t>Centralvarme m naturgas</t>
  </si>
  <si>
    <t>Centralvarme, ikke olie og naturgas</t>
  </si>
  <si>
    <t>Varmepumpe</t>
  </si>
  <si>
    <t>Elvarme</t>
  </si>
  <si>
    <t>Øvrige ovne</t>
  </si>
  <si>
    <t>Uoplyst</t>
  </si>
  <si>
    <t>Ubeboede boliger</t>
  </si>
  <si>
    <t>Ubeboede fritidshuse</t>
  </si>
  <si>
    <t>Bygas forbrug københavn</t>
  </si>
  <si>
    <t>Nettab Bygas</t>
  </si>
  <si>
    <t>Emissionsfaktor bygas</t>
  </si>
  <si>
    <t>Energiindhold bygas</t>
  </si>
  <si>
    <t>Sektor</t>
  </si>
  <si>
    <t>Gradddage</t>
  </si>
  <si>
    <t>Normalår</t>
  </si>
  <si>
    <t>Sum</t>
  </si>
  <si>
    <t>Enhed</t>
  </si>
  <si>
    <t>ton/GWh</t>
  </si>
  <si>
    <t>Fjernvarmens dækningsgrad</t>
  </si>
  <si>
    <t>uden ækvivalenter</t>
  </si>
  <si>
    <t>med ækvivalenter</t>
  </si>
  <si>
    <t>m³</t>
  </si>
  <si>
    <t>kg CO2/MWh</t>
  </si>
  <si>
    <t>MWh</t>
  </si>
  <si>
    <t xml:space="preserve">kWh/m³ </t>
  </si>
  <si>
    <t xml:space="preserve">mio m³ </t>
  </si>
  <si>
    <t>Sum Fjernvarmeforbrug</t>
  </si>
  <si>
    <t>Sum CO₂-emission</t>
  </si>
  <si>
    <r>
      <t>Emissionsfaktor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</si>
  <si>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Beregnet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 emission tons/år, 2011</t>
    </r>
  </si>
  <si>
    <t>http://www.statistikbanken.dk/</t>
  </si>
  <si>
    <t>Gasolie</t>
  </si>
  <si>
    <t>Ton</t>
  </si>
  <si>
    <t>Omregningsfaktor</t>
  </si>
  <si>
    <t>Graddagkorrektion</t>
  </si>
  <si>
    <t>År</t>
  </si>
  <si>
    <t>Elforsyning</t>
  </si>
  <si>
    <t>Trafik</t>
  </si>
  <si>
    <t>Ind. opv. og bygas</t>
  </si>
  <si>
    <t>Øvrige</t>
  </si>
  <si>
    <t>CO₂ emissioner</t>
  </si>
  <si>
    <t>Elforbrug til togdrift er medregnet i Trafik - Togtrafik. Elforbrug til stationsdrift er opgjort som differencen mellem DONG data og data fra eltogselskaberne</t>
  </si>
  <si>
    <t>Individuel opvarmning, handel og service samt husholdninger2)</t>
  </si>
  <si>
    <t>Individuel opvarmning og procesvarme, industri3)</t>
  </si>
  <si>
    <t>Individuel opvarmning, landbrug og gartnerier</t>
  </si>
  <si>
    <t>Bygas til madlavning m.v. 3)</t>
  </si>
  <si>
    <t>Elproduktion</t>
  </si>
  <si>
    <t>Kul og brunkul</t>
  </si>
  <si>
    <t>Vind, vand, sol</t>
  </si>
  <si>
    <t>Affald, biomasse, biogas</t>
  </si>
  <si>
    <t>Atomkraft</t>
  </si>
  <si>
    <t>Eltog</t>
  </si>
  <si>
    <t>Beregnede forbrug, kWh</t>
  </si>
  <si>
    <t>S-tog</t>
  </si>
  <si>
    <t>Metro</t>
  </si>
  <si>
    <t>Passagertog</t>
  </si>
  <si>
    <t>Godstog</t>
  </si>
  <si>
    <t>I alt</t>
  </si>
  <si>
    <t>Dieseltog</t>
  </si>
  <si>
    <t>Køretøjs-kategori</t>
  </si>
  <si>
    <t>Personbiler</t>
  </si>
  <si>
    <t>Varebiler</t>
  </si>
  <si>
    <t>Lastbiler</t>
  </si>
  <si>
    <t>Busser</t>
  </si>
  <si>
    <t>Motorcykler</t>
  </si>
  <si>
    <t>CO2-emission, tons/år</t>
  </si>
  <si>
    <t>ton/km</t>
  </si>
  <si>
    <t>Trafikarbejde pr. hverdagsdøgn i mio. km/år</t>
  </si>
  <si>
    <t>Trafikarbejde, mio. km/år</t>
  </si>
  <si>
    <t xml:space="preserve">Antal hverdagsdøgn/år </t>
  </si>
  <si>
    <t>I alt tog</t>
  </si>
  <si>
    <t>VE-el KK</t>
  </si>
  <si>
    <t>Solceller</t>
  </si>
  <si>
    <t>Affald (korrigeret for fossil andel)</t>
  </si>
  <si>
    <t>Bomassebaseret el</t>
  </si>
  <si>
    <t>Forsyningsform</t>
  </si>
  <si>
    <t>Vindmøller</t>
  </si>
  <si>
    <t>Elforbrug1)</t>
  </si>
  <si>
    <t>Fjernvarmeforbrug2)</t>
  </si>
  <si>
    <t>Vejtrafik</t>
  </si>
  <si>
    <t>Togtrafik (inkl. eldrevne tog)</t>
  </si>
  <si>
    <t>Flytrafik</t>
  </si>
  <si>
    <t>Skibstrafik</t>
  </si>
  <si>
    <t>Fiskeri</t>
  </si>
  <si>
    <t>Non-road industri</t>
  </si>
  <si>
    <t>Non-road land- og skovbrug</t>
  </si>
  <si>
    <t>Non-road have/hushold</t>
  </si>
  <si>
    <t>Procesemissioner, industri3)</t>
  </si>
  <si>
    <t>Opløsningsmidler</t>
  </si>
  <si>
    <t>Landbrug og skovbrug</t>
  </si>
  <si>
    <t>Arealanvendelse</t>
  </si>
  <si>
    <t>Affaldsdeponering</t>
  </si>
  <si>
    <t>Spildevand</t>
  </si>
  <si>
    <t>Fjernvarmedækningsgraden KK</t>
  </si>
  <si>
    <t>Fjernvarmedækningsgraden DK</t>
  </si>
  <si>
    <t>Husholdninger</t>
  </si>
  <si>
    <t>Elfobrug i KK</t>
  </si>
  <si>
    <t>VE-produktion KK</t>
  </si>
  <si>
    <t>Nettab</t>
  </si>
  <si>
    <t>Elforbrug DK</t>
  </si>
  <si>
    <t>Emissionsfaktor DK</t>
  </si>
  <si>
    <t>CO₂ emission - VE korrigeret</t>
  </si>
  <si>
    <t>kg/MWh</t>
  </si>
  <si>
    <t>http://energinet.dk/DA/El/Engrosmarked/Udtraek-af-markedsdata/Sider/default.aspx</t>
  </si>
  <si>
    <t>I alt eltog</t>
  </si>
  <si>
    <t>CO₂ emissionsfaktor for el</t>
  </si>
  <si>
    <t>CO₂ reduction</t>
  </si>
  <si>
    <t>ton</t>
  </si>
  <si>
    <t>-</t>
  </si>
  <si>
    <t>Kilde</t>
  </si>
  <si>
    <t>kilde</t>
  </si>
  <si>
    <t>http://www.ens.dk/info/tal-kort/statistik-noegletal/oversigt-energisektoren/stamdataregister-vindmoller</t>
  </si>
  <si>
    <t>uden ækvivalenter 2011 raport</t>
  </si>
  <si>
    <t>uden ækvivalenter 2012 raport</t>
  </si>
  <si>
    <t>Samlede elproduktion</t>
  </si>
  <si>
    <t>Kul</t>
  </si>
  <si>
    <t>VE</t>
  </si>
  <si>
    <t>Biomasse</t>
  </si>
  <si>
    <t>Fuelolie</t>
  </si>
  <si>
    <t>Halm</t>
  </si>
  <si>
    <t>Træpiller</t>
  </si>
  <si>
    <t>Brændsler AMV</t>
  </si>
  <si>
    <t>Lejligheder uden elvarme</t>
  </si>
  <si>
    <t>Lejligheder med elvarme</t>
  </si>
  <si>
    <t>Fællesforbrug</t>
  </si>
  <si>
    <t>Enfamiliehuse uden elvarme</t>
  </si>
  <si>
    <t>Enfamiliehuse med elvarme</t>
  </si>
  <si>
    <t>Enfamiliehuse med varmepumpe</t>
  </si>
  <si>
    <t>Fritidshuse, i alt</t>
  </si>
  <si>
    <t>Landbrug uden elvarme</t>
  </si>
  <si>
    <t>Gartneri i alt</t>
  </si>
  <si>
    <t>Nærings- og nydelsesmiddelindustri</t>
  </si>
  <si>
    <t>Træindustri</t>
  </si>
  <si>
    <t>Papir- og grafisk industri</t>
  </si>
  <si>
    <t>Kemisk industri</t>
  </si>
  <si>
    <t>Sten-, ler- og glasindustri</t>
  </si>
  <si>
    <t>Jern- og metalværker</t>
  </si>
  <si>
    <t>Jern- og metalindustri</t>
  </si>
  <si>
    <t>Bygge- og anlægsvirksomhed, i alt</t>
  </si>
  <si>
    <t>Detailhandel</t>
  </si>
  <si>
    <t>Engroshandel og køle/frysehuse</t>
  </si>
  <si>
    <t>Restaurations- og hotelvirksomhed</t>
  </si>
  <si>
    <t>El-, gas-, varme- og vandforsyning</t>
  </si>
  <si>
    <t>Undervisning og forskning</t>
  </si>
  <si>
    <t>Sundheds- og veterinærvæsen</t>
  </si>
  <si>
    <t>Social institutioner samt foreninger</t>
  </si>
  <si>
    <t>Postvæsen og telekommunikation</t>
  </si>
  <si>
    <t>Offentlig administration</t>
  </si>
  <si>
    <t>Gade- og vejbelysning</t>
  </si>
  <si>
    <t>Jernbaner og øvrig transport</t>
  </si>
  <si>
    <t>Tekstil-, beklædnings- og læderindustri</t>
  </si>
  <si>
    <t>Møbelindustri, legetøjsfab.,guld- og sølvfrem.</t>
  </si>
  <si>
    <t>Bank og forsikring samt forretningsservice</t>
  </si>
  <si>
    <t>Kulturelle aktiviteter og husholdningsservice</t>
  </si>
  <si>
    <t>Kloak og renovation samt rensningsanlæg</t>
  </si>
  <si>
    <t>Parameter</t>
  </si>
  <si>
    <r>
      <t>Totalt organisk nedbrydeligt materiale i indløbsspildevandet til kommunale, private og industrielle renseanlæg</t>
    </r>
    <r>
      <rPr>
        <vertAlign val="superscript"/>
        <sz val="8"/>
        <color theme="1"/>
        <rFont val="Verdana"/>
        <family val="2"/>
      </rPr>
      <t>1)</t>
    </r>
    <r>
      <rPr>
        <sz val="8"/>
        <color theme="1"/>
        <rFont val="Verdana"/>
        <family val="2"/>
      </rPr>
      <t>, tons BI5/år</t>
    </r>
  </si>
  <si>
    <t>Fraktion af indbyggere tilsluttet det kommunale spildevandssystem, %</t>
  </si>
  <si>
    <t>Nitrogen i udløbsspildevandet fra renseanlæg,</t>
  </si>
  <si>
    <t>kg N/år</t>
  </si>
  <si>
    <t>Nitrogen i udløbsspildevandet fra særskilt industri, kg N/år</t>
  </si>
  <si>
    <t>Nitrogen i udløbsspildevandet fra spredt bebyggelse, kg N/år</t>
  </si>
  <si>
    <t>Nitrogen i udløbsspildevandet fra regnvandsbetingede udløb, kg N/år</t>
  </si>
  <si>
    <t>Nitrogen i udløbsspildevandet fra dambrug, kg N/år</t>
  </si>
  <si>
    <t>Nitrogen i indløbsspildevand, tons N/år</t>
  </si>
  <si>
    <r>
      <t>Samlet emission fra Lynettefælledsskabet udregnet ved hjælp af CO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-beregneren, tons CO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/år</t>
    </r>
  </si>
  <si>
    <t>Nye data</t>
  </si>
  <si>
    <t>TIER 1 data modtaget fra Ole Kenneth Nielsen d. 30. marts 2014</t>
  </si>
  <si>
    <t>CO2</t>
  </si>
  <si>
    <t>Landbrug/skovbrug stationær</t>
  </si>
  <si>
    <t>Industri ex 8 pkt. kilder</t>
  </si>
  <si>
    <t>Non-road husholdninger</t>
  </si>
  <si>
    <t>Indenrigs luftfart</t>
  </si>
  <si>
    <t>Indenrigs søfart</t>
  </si>
  <si>
    <t>Landbrug/skovbrug mobile</t>
  </si>
  <si>
    <t>Deponi</t>
  </si>
  <si>
    <t>CO2 ækv.</t>
  </si>
  <si>
    <t>CO2 (Kuldioxid - drivhusgas)</t>
  </si>
  <si>
    <t>Drivhusgasser i alt (CO2-ækvivalenter)</t>
  </si>
  <si>
    <t>200% metoden</t>
  </si>
  <si>
    <t>Incl. 5% nettab</t>
  </si>
  <si>
    <t>g/kWh</t>
  </si>
  <si>
    <t>Folketal Danmark 1KV</t>
  </si>
  <si>
    <t>Folketal København Kommune 1KV</t>
  </si>
  <si>
    <r>
      <t>Beregnet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 emission tons/år, 2012</t>
    </r>
  </si>
  <si>
    <t>I alt, ikke korrigeret</t>
  </si>
  <si>
    <t>I alt, korrigeret</t>
  </si>
  <si>
    <t>Samlet emission</t>
  </si>
  <si>
    <t xml:space="preserve"> </t>
  </si>
  <si>
    <t xml:space="preserve">ton CO₂ </t>
  </si>
  <si>
    <t>Produktion i MWh</t>
  </si>
  <si>
    <t>Amagerværket (HOFOR)</t>
  </si>
  <si>
    <t>Lynettefælledsskabet (BIOFOS)</t>
  </si>
  <si>
    <t xml:space="preserve">Landemissionen </t>
  </si>
  <si>
    <t>el</t>
  </si>
  <si>
    <t>FV</t>
  </si>
  <si>
    <t>COP</t>
  </si>
  <si>
    <t>kg</t>
  </si>
  <si>
    <t>VP produktion</t>
  </si>
  <si>
    <t>2011 emission, kton</t>
  </si>
  <si>
    <t>Kbh K, 2012</t>
  </si>
  <si>
    <t>ktons CO2</t>
  </si>
  <si>
    <t>Kbh, 2013</t>
  </si>
  <si>
    <t>Afrunding</t>
  </si>
  <si>
    <t>ktons CO2 ækv.</t>
  </si>
  <si>
    <t>Kbh K/Danmark (2012) =</t>
  </si>
  <si>
    <t>Kbh K/Danmark (2013) =</t>
  </si>
  <si>
    <t>Graddagkorrigeret!</t>
  </si>
  <si>
    <t>pct.</t>
  </si>
  <si>
    <t>NPK 19-3-10</t>
  </si>
  <si>
    <t>Team SV</t>
  </si>
  <si>
    <t>NPK 16-1-9</t>
  </si>
  <si>
    <t>NPK</t>
  </si>
  <si>
    <t>kg. N</t>
  </si>
  <si>
    <t>2014 (2013-tal)</t>
  </si>
  <si>
    <t>Kbh, 2014</t>
  </si>
  <si>
    <t>Kbh K/Danmark (2014) =</t>
  </si>
  <si>
    <t>Individuel opvarmning, handel og service samt husholdninger</t>
  </si>
  <si>
    <r>
      <t>Emissionsfaktor. Beregnet fra 2011-fremskriv.      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/km</t>
    </r>
  </si>
  <si>
    <t>Antal hverdagsdøgn/år</t>
  </si>
  <si>
    <t>Trafikarbejde , mio. km/år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</si>
  <si>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-emission, tons/år</t>
    </r>
  </si>
  <si>
    <t xml:space="preserve">Trafikarbejde pr. hverdagsdøgn i mio. km i </t>
  </si>
  <si>
    <t xml:space="preserve">Trafikarbejde pr. hverdagsdøgn i mio. km </t>
  </si>
  <si>
    <t>kilde: HOFOR</t>
  </si>
  <si>
    <t>Data modtaget fra Carsten Thirsing/Kim Rindel BIOFOS</t>
  </si>
  <si>
    <t>x</t>
  </si>
  <si>
    <t>Elforbrug til stationsdrift</t>
  </si>
  <si>
    <t>2015 (2014-tal) emission, kton</t>
  </si>
  <si>
    <t>Kbh K/Danmark (2015) =</t>
  </si>
  <si>
    <t>https://trefor.dk/Erhverv/Energi/Fjernvarme/Graddage</t>
  </si>
  <si>
    <t>Kbh, 2015</t>
  </si>
  <si>
    <t>Østerbro/Bispebjerg</t>
  </si>
  <si>
    <t>Vanløse/Brønshøj</t>
  </si>
  <si>
    <t>NPK 12-2-5</t>
  </si>
  <si>
    <t>ARC</t>
  </si>
  <si>
    <t>ton kalk</t>
  </si>
  <si>
    <t>Amagerværket</t>
  </si>
  <si>
    <r>
      <t>Emissionsfak-tor, tons CO</t>
    </r>
    <r>
      <rPr>
        <vertAlign val="subscript"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/ton kalk</t>
    </r>
  </si>
  <si>
    <t>Kommunen har i efteråret 2015 registreret</t>
  </si>
  <si>
    <t>skov</t>
  </si>
  <si>
    <t xml:space="preserve">m2 </t>
  </si>
  <si>
    <t>Parktræer</t>
  </si>
  <si>
    <t>stk.</t>
  </si>
  <si>
    <t>á</t>
  </si>
  <si>
    <t>10 m2</t>
  </si>
  <si>
    <t>Naturtræer</t>
  </si>
  <si>
    <t>Samlet</t>
  </si>
  <si>
    <t>m2</t>
  </si>
  <si>
    <t>Skovrejsning bidrager med et CO2-optag af størrelsesordnen 18 tons CO2/ha/år</t>
  </si>
  <si>
    <t>Optag:</t>
  </si>
  <si>
    <t>tons CO2</t>
  </si>
  <si>
    <t>OBS</t>
  </si>
  <si>
    <t>2016 (2015-tal) emission, kton</t>
  </si>
  <si>
    <t>Kbh, 2016</t>
  </si>
  <si>
    <t>Fjernvarmens rolle i den fremtidige energiforsyning' Energistyrelsen marts 2014</t>
  </si>
  <si>
    <t>Kbh K/Danmark (2016) =</t>
  </si>
  <si>
    <t>Emdrup</t>
  </si>
  <si>
    <t>Svanemøllen</t>
  </si>
  <si>
    <t>NPK 14-3-15</t>
  </si>
  <si>
    <t>Østerbro stadion</t>
  </si>
  <si>
    <t>Kløvermarken</t>
  </si>
  <si>
    <t>Sundby</t>
  </si>
  <si>
    <t>Tingbjerg</t>
  </si>
  <si>
    <t>Valby</t>
  </si>
  <si>
    <t>NS 21-24</t>
  </si>
  <si>
    <t>Kommunen har i efteråret 2016 registreret</t>
  </si>
  <si>
    <t>Antages lig 2015</t>
  </si>
  <si>
    <t>CO2 emissionsfaktorer for vej (Transportøkonomiske enhedspriser (TRM) - 'nye')</t>
  </si>
  <si>
    <t>g/km</t>
  </si>
  <si>
    <t>CO2-emission, tons/år 'Nye'</t>
  </si>
  <si>
    <t>Pr indbygger</t>
  </si>
  <si>
    <t>2016 (til GPC)</t>
  </si>
  <si>
    <t>ARC /   (Amagerforbrændingen)</t>
  </si>
  <si>
    <t>https://energinet.dk/Om-nyheder/Nyheder/2018/04/07/Rekord-lav-CO2udledning-fra-danskernes-kilowatttime-i-2017</t>
  </si>
  <si>
    <t>https://energinet.dk/El/Miljoedeklarationer#Gennemsnitsdeklaration</t>
  </si>
  <si>
    <t>Godskreven andel</t>
  </si>
  <si>
    <t>2017 (2016-tal) emission, kton</t>
  </si>
  <si>
    <t>Kbh, 2017</t>
  </si>
  <si>
    <t>Kbh K/Danmark (2017) =</t>
  </si>
  <si>
    <r>
      <t>Emissionsfaktor. Transportøkonomsike enhedspriser     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/km</t>
    </r>
  </si>
  <si>
    <t>N-P-K: 14 – 3 – 15</t>
  </si>
  <si>
    <t>N-P-K: 13 – 2 – 10</t>
  </si>
  <si>
    <t>2017 (til GPC)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</si>
</sst>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_ * #,##0_ ;_ * \-#,##0_ ;_ * &quot;-&quot;??_ ;_ @_ "/>
    <numFmt numFmtId="166" formatCode="0.000"/>
    <numFmt numFmtId="167" formatCode="0.0%"/>
    <numFmt numFmtId="168" formatCode="_ * #,##0.000_ ;_ * \-#,##0.000_ ;_ * &quot;-&quot;??_ ;_ @_ "/>
    <numFmt numFmtId="169" formatCode="0.0000"/>
    <numFmt numFmtId="170" formatCode="_ * #,##0.0_ ;_ * \-#,##0.0_ ;_ * &quot;-&quot;??_ ;_ @_ "/>
    <numFmt numFmtId="171" formatCode="0.0"/>
    <numFmt numFmtId="172" formatCode="_ * #,##0.00000000_ ;_ * \-#,##0.00000000_ ;_ * &quot;-&quot;??_ ;_ @_ "/>
    <numFmt numFmtId="173" formatCode="_ * #,##0.0000_ ;_ * \-#,##0.0000_ ;_ * &quot;-&quot;??_ ;_ @_ "/>
    <numFmt numFmtId="174" formatCode="0.000%"/>
    <numFmt numFmtId="175" formatCode="0.0000%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vertAlign val="subscript"/>
      <sz val="8"/>
      <color theme="1"/>
      <name val="Verdana"/>
      <family val="2"/>
    </font>
    <font>
      <sz val="11"/>
      <color rgb="FF1F497D"/>
      <name val="Calibri"/>
      <family val="2"/>
    </font>
    <font>
      <sz val="11"/>
      <color theme="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3"/>
      <name val="Calibri"/>
      <family val="2"/>
    </font>
    <font>
      <sz val="11"/>
      <color theme="0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TheSans-Plain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7.7"/>
      <color rgb="FF000000"/>
      <name val="Arial"/>
      <family val="2"/>
    </font>
    <font>
      <sz val="7.7"/>
      <color rgb="FF000000"/>
      <name val="Arial"/>
      <family val="2"/>
    </font>
    <font>
      <sz val="8"/>
      <color rgb="FF000000"/>
      <name val="Verdana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9"/>
      <color indexed="81"/>
      <name val="Tahoma"/>
      <family val="2"/>
    </font>
    <font>
      <sz val="7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10">
    <xf numFmtId="0" fontId="0" fillId="0" borderId="0" xfId="0"/>
    <xf numFmtId="0" fontId="5" fillId="0" borderId="0" xfId="4"/>
    <xf numFmtId="14" fontId="0" fillId="0" borderId="0" xfId="0" applyNumberFormat="1"/>
    <xf numFmtId="165" fontId="0" fillId="0" borderId="0" xfId="1" applyNumberFormat="1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2" applyFont="1"/>
    <xf numFmtId="165" fontId="0" fillId="0" borderId="2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5" fontId="1" fillId="0" borderId="0" xfId="1" applyNumberFormat="1" applyFont="1" applyBorder="1" applyAlignment="1" applyProtection="1">
      <alignment horizontal="left"/>
      <protection locked="0"/>
    </xf>
    <xf numFmtId="165" fontId="1" fillId="0" borderId="7" xfId="1" applyNumberFormat="1" applyFont="1" applyBorder="1" applyAlignment="1" applyProtection="1">
      <alignment horizontal="left"/>
      <protection locked="0"/>
    </xf>
    <xf numFmtId="0" fontId="0" fillId="0" borderId="8" xfId="0" applyBorder="1"/>
    <xf numFmtId="0" fontId="0" fillId="0" borderId="9" xfId="0" applyFont="1" applyBorder="1" applyAlignment="1" applyProtection="1">
      <alignment horizontal="left"/>
      <protection locked="0"/>
    </xf>
    <xf numFmtId="165" fontId="1" fillId="0" borderId="9" xfId="1" applyNumberFormat="1" applyFont="1" applyBorder="1" applyAlignment="1" applyProtection="1">
      <alignment horizontal="left"/>
      <protection locked="0"/>
    </xf>
    <xf numFmtId="165" fontId="1" fillId="0" borderId="10" xfId="1" applyNumberFormat="1" applyFont="1" applyBorder="1" applyAlignment="1" applyProtection="1">
      <alignment horizontal="left"/>
      <protection locked="0"/>
    </xf>
    <xf numFmtId="0" fontId="0" fillId="0" borderId="11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0" borderId="12" xfId="0" applyBorder="1"/>
    <xf numFmtId="0" fontId="4" fillId="0" borderId="0" xfId="0" applyFont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6" xfId="0" applyBorder="1"/>
    <xf numFmtId="0" fontId="0" fillId="0" borderId="0" xfId="0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0" borderId="14" xfId="0" applyBorder="1"/>
    <xf numFmtId="165" fontId="0" fillId="0" borderId="15" xfId="1" applyNumberFormat="1" applyFont="1" applyBorder="1"/>
    <xf numFmtId="0" fontId="0" fillId="0" borderId="16" xfId="0" applyBorder="1"/>
    <xf numFmtId="0" fontId="0" fillId="0" borderId="17" xfId="0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9" xfId="0" applyBorder="1"/>
    <xf numFmtId="0" fontId="4" fillId="0" borderId="0" xfId="0" applyFont="1" applyBorder="1"/>
    <xf numFmtId="3" fontId="0" fillId="0" borderId="0" xfId="0" applyNumberFormat="1" applyBorder="1"/>
    <xf numFmtId="3" fontId="0" fillId="0" borderId="9" xfId="0" applyNumberForma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2" fillId="2" borderId="19" xfId="3" applyNumberFormat="1" applyBorder="1"/>
    <xf numFmtId="165" fontId="2" fillId="2" borderId="20" xfId="3" applyNumberFormat="1" applyBorder="1"/>
    <xf numFmtId="0" fontId="6" fillId="0" borderId="0" xfId="0" applyFont="1" applyBorder="1"/>
    <xf numFmtId="0" fontId="0" fillId="0" borderId="0" xfId="0" quotePrefix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165" fontId="2" fillId="2" borderId="21" xfId="3" applyNumberFormat="1" applyBorder="1"/>
    <xf numFmtId="165" fontId="2" fillId="2" borderId="22" xfId="3" applyNumberFormat="1" applyBorder="1"/>
    <xf numFmtId="165" fontId="2" fillId="2" borderId="1" xfId="3" applyNumberFormat="1" applyBorder="1"/>
    <xf numFmtId="165" fontId="2" fillId="2" borderId="24" xfId="3" applyNumberFormat="1" applyBorder="1"/>
    <xf numFmtId="165" fontId="2" fillId="2" borderId="25" xfId="3" applyNumberFormat="1" applyBorder="1"/>
    <xf numFmtId="9" fontId="2" fillId="2" borderId="22" xfId="3" applyNumberFormat="1" applyBorder="1"/>
    <xf numFmtId="9" fontId="2" fillId="2" borderId="23" xfId="3" applyNumberFormat="1" applyBorder="1"/>
    <xf numFmtId="166" fontId="2" fillId="2" borderId="21" xfId="3" applyNumberFormat="1" applyBorder="1"/>
    <xf numFmtId="9" fontId="2" fillId="2" borderId="21" xfId="3" applyNumberFormat="1" applyBorder="1"/>
    <xf numFmtId="9" fontId="0" fillId="0" borderId="0" xfId="2" applyFont="1" applyBorder="1"/>
    <xf numFmtId="0" fontId="2" fillId="2" borderId="1" xfId="3" applyBorder="1"/>
    <xf numFmtId="9" fontId="2" fillId="2" borderId="1" xfId="3" applyNumberFormat="1" applyBorder="1"/>
    <xf numFmtId="9" fontId="0" fillId="0" borderId="17" xfId="2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6" xfId="1" applyNumberFormat="1" applyFont="1" applyBorder="1"/>
    <xf numFmtId="165" fontId="3" fillId="0" borderId="8" xfId="1" applyNumberFormat="1" applyFont="1" applyBorder="1"/>
    <xf numFmtId="0" fontId="0" fillId="0" borderId="27" xfId="0" applyBorder="1"/>
    <xf numFmtId="165" fontId="0" fillId="0" borderId="0" xfId="1" applyNumberFormat="1" applyFont="1" applyBorder="1" applyAlignment="1" applyProtection="1">
      <alignment horizontal="right"/>
      <protection locked="0"/>
    </xf>
    <xf numFmtId="165" fontId="0" fillId="0" borderId="0" xfId="0" applyNumberFormat="1" applyBorder="1"/>
    <xf numFmtId="0" fontId="0" fillId="0" borderId="28" xfId="0" applyBorder="1"/>
    <xf numFmtId="0" fontId="4" fillId="0" borderId="4" xfId="0" applyFont="1" applyBorder="1" applyAlignment="1" applyProtection="1"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3" borderId="26" xfId="3" applyFill="1" applyBorder="1"/>
    <xf numFmtId="9" fontId="2" fillId="3" borderId="26" xfId="3" applyNumberFormat="1" applyFill="1" applyBorder="1"/>
    <xf numFmtId="9" fontId="0" fillId="0" borderId="0" xfId="2" applyFont="1" applyBorder="1" applyAlignment="1" applyProtection="1">
      <alignment horizontal="right"/>
      <protection locked="0"/>
    </xf>
    <xf numFmtId="9" fontId="4" fillId="0" borderId="4" xfId="2" applyFont="1" applyBorder="1" applyAlignment="1">
      <alignment wrapText="1"/>
    </xf>
    <xf numFmtId="165" fontId="4" fillId="0" borderId="4" xfId="1" applyNumberFormat="1" applyFont="1" applyBorder="1" applyAlignment="1">
      <alignment wrapText="1"/>
    </xf>
    <xf numFmtId="0" fontId="4" fillId="0" borderId="33" xfId="0" applyFont="1" applyBorder="1" applyAlignment="1">
      <alignment wrapText="1"/>
    </xf>
    <xf numFmtId="165" fontId="0" fillId="0" borderId="34" xfId="1" applyNumberFormat="1" applyFont="1" applyBorder="1"/>
    <xf numFmtId="165" fontId="0" fillId="0" borderId="35" xfId="1" applyNumberFormat="1" applyFont="1" applyBorder="1"/>
    <xf numFmtId="164" fontId="3" fillId="0" borderId="7" xfId="1" applyFont="1" applyBorder="1"/>
    <xf numFmtId="167" fontId="3" fillId="0" borderId="10" xfId="2" applyNumberFormat="1" applyFont="1" applyBorder="1"/>
    <xf numFmtId="0" fontId="4" fillId="0" borderId="4" xfId="0" applyFont="1" applyBorder="1"/>
    <xf numFmtId="0" fontId="3" fillId="0" borderId="9" xfId="0" applyFont="1" applyBorder="1"/>
    <xf numFmtId="165" fontId="0" fillId="0" borderId="17" xfId="0" applyNumberFormat="1" applyBorder="1"/>
    <xf numFmtId="0" fontId="2" fillId="2" borderId="22" xfId="3" applyBorder="1"/>
    <xf numFmtId="0" fontId="2" fillId="2" borderId="24" xfId="3" applyBorder="1"/>
    <xf numFmtId="165" fontId="2" fillId="2" borderId="22" xfId="1" applyNumberFormat="1" applyFont="1" applyFill="1" applyBorder="1"/>
    <xf numFmtId="165" fontId="2" fillId="2" borderId="23" xfId="1" applyNumberFormat="1" applyFont="1" applyFill="1" applyBorder="1"/>
    <xf numFmtId="165" fontId="2" fillId="2" borderId="1" xfId="1" applyNumberFormat="1" applyFont="1" applyFill="1" applyBorder="1"/>
    <xf numFmtId="165" fontId="2" fillId="2" borderId="24" xfId="1" applyNumberFormat="1" applyFont="1" applyFill="1" applyBorder="1"/>
    <xf numFmtId="0" fontId="4" fillId="0" borderId="3" xfId="0" applyFont="1" applyBorder="1"/>
    <xf numFmtId="164" fontId="0" fillId="0" borderId="0" xfId="0" applyNumberFormat="1"/>
    <xf numFmtId="165" fontId="2" fillId="2" borderId="36" xfId="3" applyNumberFormat="1" applyBorder="1" applyAlignment="1" applyProtection="1">
      <alignment horizontal="right"/>
      <protection locked="0"/>
    </xf>
    <xf numFmtId="165" fontId="2" fillId="2" borderId="1" xfId="3" applyNumberFormat="1" applyBorder="1" applyAlignment="1" applyProtection="1">
      <alignment horizontal="right"/>
      <protection locked="0"/>
    </xf>
    <xf numFmtId="165" fontId="2" fillId="2" borderId="37" xfId="3" applyNumberFormat="1" applyBorder="1" applyAlignment="1" applyProtection="1">
      <alignment horizontal="right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5" borderId="4" xfId="0" applyFill="1" applyBorder="1"/>
    <xf numFmtId="0" fontId="4" fillId="5" borderId="4" xfId="0" applyFont="1" applyFill="1" applyBorder="1"/>
    <xf numFmtId="0" fontId="4" fillId="5" borderId="4" xfId="0" applyFont="1" applyFill="1" applyBorder="1" applyAlignment="1" applyProtection="1">
      <protection locked="0"/>
    </xf>
    <xf numFmtId="0" fontId="4" fillId="5" borderId="5" xfId="0" applyFont="1" applyFill="1" applyBorder="1" applyAlignment="1" applyProtection="1">
      <alignment horizontal="righ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7" xfId="0" applyFont="1" applyFill="1" applyBorder="1" applyAlignment="1" applyProtection="1">
      <alignment horizontal="left"/>
      <protection locked="0"/>
    </xf>
    <xf numFmtId="0" fontId="0" fillId="5" borderId="6" xfId="0" applyFont="1" applyFill="1" applyBorder="1" applyAlignment="1" applyProtection="1">
      <alignment horizontal="left"/>
      <protection locked="0"/>
    </xf>
    <xf numFmtId="168" fontId="0" fillId="5" borderId="0" xfId="1" applyNumberFormat="1" applyFont="1" applyFill="1" applyBorder="1" applyAlignment="1" applyProtection="1">
      <alignment horizontal="left"/>
      <protection locked="0"/>
    </xf>
    <xf numFmtId="0" fontId="0" fillId="5" borderId="11" xfId="0" applyFont="1" applyFill="1" applyBorder="1" applyAlignment="1" applyProtection="1">
      <alignment horizontal="left"/>
      <protection locked="0"/>
    </xf>
    <xf numFmtId="0" fontId="0" fillId="5" borderId="12" xfId="0" applyFill="1" applyBorder="1"/>
    <xf numFmtId="164" fontId="0" fillId="5" borderId="12" xfId="1" applyFont="1" applyFill="1" applyBorder="1"/>
    <xf numFmtId="164" fontId="0" fillId="5" borderId="13" xfId="1" applyFont="1" applyFill="1" applyBorder="1"/>
    <xf numFmtId="0" fontId="4" fillId="0" borderId="6" xfId="0" applyFont="1" applyBorder="1"/>
    <xf numFmtId="0" fontId="0" fillId="0" borderId="18" xfId="0" applyBorder="1"/>
    <xf numFmtId="0" fontId="0" fillId="0" borderId="29" xfId="0" applyBorder="1"/>
    <xf numFmtId="165" fontId="0" fillId="0" borderId="27" xfId="1" applyNumberFormat="1" applyFont="1" applyBorder="1"/>
    <xf numFmtId="0" fontId="0" fillId="0" borderId="31" xfId="0" applyBorder="1"/>
    <xf numFmtId="165" fontId="0" fillId="0" borderId="28" xfId="1" applyNumberFormat="1" applyFont="1" applyBorder="1"/>
    <xf numFmtId="0" fontId="0" fillId="0" borderId="6" xfId="0" applyBorder="1" applyAlignment="1">
      <alignment wrapText="1"/>
    </xf>
    <xf numFmtId="0" fontId="0" fillId="0" borderId="11" xfId="0" applyBorder="1" applyAlignment="1"/>
    <xf numFmtId="0" fontId="1" fillId="0" borderId="8" xfId="0" applyFont="1" applyBorder="1" applyAlignment="1" applyProtection="1">
      <alignment horizontal="left"/>
      <protection locked="0"/>
    </xf>
    <xf numFmtId="165" fontId="2" fillId="2" borderId="40" xfId="3" applyNumberFormat="1" applyBorder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/>
    <xf numFmtId="0" fontId="0" fillId="0" borderId="16" xfId="0" applyFill="1" applyBorder="1"/>
    <xf numFmtId="0" fontId="6" fillId="0" borderId="16" xfId="0" applyFont="1" applyBorder="1"/>
    <xf numFmtId="165" fontId="6" fillId="0" borderId="17" xfId="0" applyNumberFormat="1" applyFont="1" applyBorder="1"/>
    <xf numFmtId="0" fontId="0" fillId="0" borderId="5" xfId="0" applyBorder="1"/>
    <xf numFmtId="164" fontId="0" fillId="0" borderId="0" xfId="1" applyFont="1" applyBorder="1"/>
    <xf numFmtId="165" fontId="0" fillId="0" borderId="2" xfId="0" applyNumberForma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0" fillId="0" borderId="17" xfId="0" applyFill="1" applyBorder="1"/>
    <xf numFmtId="165" fontId="0" fillId="0" borderId="4" xfId="0" applyNumberFormat="1" applyBorder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6" borderId="3" xfId="0" applyFill="1" applyBorder="1"/>
    <xf numFmtId="0" fontId="0" fillId="6" borderId="6" xfId="0" applyFill="1" applyBorder="1"/>
    <xf numFmtId="165" fontId="0" fillId="6" borderId="7" xfId="1" applyNumberFormat="1" applyFont="1" applyFill="1" applyBorder="1"/>
    <xf numFmtId="0" fontId="0" fillId="6" borderId="16" xfId="0" applyFill="1" applyBorder="1"/>
    <xf numFmtId="0" fontId="0" fillId="6" borderId="0" xfId="0" applyFill="1" applyBorder="1"/>
    <xf numFmtId="165" fontId="0" fillId="6" borderId="0" xfId="1" applyNumberFormat="1" applyFont="1" applyFill="1" applyBorder="1"/>
    <xf numFmtId="167" fontId="0" fillId="6" borderId="0" xfId="0" applyNumberFormat="1" applyFill="1" applyBorder="1"/>
    <xf numFmtId="0" fontId="0" fillId="6" borderId="4" xfId="0" applyFill="1" applyBorder="1"/>
    <xf numFmtId="0" fontId="0" fillId="6" borderId="17" xfId="0" applyFill="1" applyBorder="1"/>
    <xf numFmtId="165" fontId="0" fillId="0" borderId="18" xfId="0" applyNumberFormat="1" applyBorder="1"/>
    <xf numFmtId="0" fontId="3" fillId="0" borderId="0" xfId="0" applyFont="1" applyBorder="1"/>
    <xf numFmtId="1" fontId="4" fillId="0" borderId="0" xfId="1" applyNumberFormat="1" applyFont="1" applyFill="1" applyBorder="1"/>
    <xf numFmtId="0" fontId="0" fillId="6" borderId="11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/>
    <xf numFmtId="165" fontId="2" fillId="2" borderId="38" xfId="1" applyNumberFormat="1" applyFont="1" applyFill="1" applyBorder="1" applyAlignment="1" applyProtection="1">
      <alignment horizontal="right"/>
      <protection locked="0"/>
    </xf>
    <xf numFmtId="165" fontId="2" fillId="2" borderId="24" xfId="1" applyNumberFormat="1" applyFont="1" applyFill="1" applyBorder="1" applyAlignment="1" applyProtection="1">
      <alignment horizontal="right"/>
      <protection locked="0"/>
    </xf>
    <xf numFmtId="165" fontId="2" fillId="2" borderId="39" xfId="1" applyNumberFormat="1" applyFont="1" applyFill="1" applyBorder="1" applyAlignment="1" applyProtection="1">
      <alignment horizontal="right"/>
      <protection locked="0"/>
    </xf>
    <xf numFmtId="165" fontId="0" fillId="0" borderId="7" xfId="1" applyNumberFormat="1" applyFont="1" applyBorder="1" applyAlignment="1" applyProtection="1">
      <alignment horizontal="right"/>
      <protection locked="0"/>
    </xf>
    <xf numFmtId="165" fontId="2" fillId="2" borderId="41" xfId="1" applyNumberFormat="1" applyFont="1" applyFill="1" applyBorder="1" applyAlignment="1" applyProtection="1">
      <alignment horizontal="right"/>
      <protection locked="0"/>
    </xf>
    <xf numFmtId="165" fontId="12" fillId="4" borderId="1" xfId="3" applyNumberFormat="1" applyFont="1" applyFill="1"/>
    <xf numFmtId="165" fontId="0" fillId="0" borderId="0" xfId="0" applyNumberFormat="1"/>
    <xf numFmtId="0" fontId="0" fillId="0" borderId="0" xfId="0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3" xfId="0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0" fontId="12" fillId="0" borderId="6" xfId="0" applyFont="1" applyFill="1" applyBorder="1"/>
    <xf numFmtId="165" fontId="12" fillId="0" borderId="0" xfId="1" applyNumberFormat="1" applyFont="1" applyFill="1" applyBorder="1"/>
    <xf numFmtId="165" fontId="12" fillId="0" borderId="7" xfId="1" applyNumberFormat="1" applyFont="1" applyFill="1" applyBorder="1"/>
    <xf numFmtId="0" fontId="12" fillId="0" borderId="8" xfId="0" applyFont="1" applyFill="1" applyBorder="1"/>
    <xf numFmtId="165" fontId="12" fillId="0" borderId="9" xfId="1" applyNumberFormat="1" applyFont="1" applyFill="1" applyBorder="1"/>
    <xf numFmtId="0" fontId="12" fillId="0" borderId="4" xfId="0" applyFont="1" applyFill="1" applyBorder="1"/>
    <xf numFmtId="0" fontId="12" fillId="0" borderId="9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6" xfId="0" applyFont="1" applyFill="1" applyBorder="1" applyAlignment="1">
      <alignment wrapText="1"/>
    </xf>
    <xf numFmtId="0" fontId="0" fillId="0" borderId="0" xfId="0" applyFill="1"/>
    <xf numFmtId="0" fontId="13" fillId="0" borderId="0" xfId="0" applyFont="1" applyFill="1" applyBorder="1"/>
    <xf numFmtId="165" fontId="0" fillId="0" borderId="18" xfId="1" applyNumberFormat="1" applyFont="1" applyFill="1" applyBorder="1"/>
    <xf numFmtId="165" fontId="4" fillId="0" borderId="17" xfId="1" applyNumberFormat="1" applyFont="1" applyBorder="1"/>
    <xf numFmtId="0" fontId="4" fillId="0" borderId="16" xfId="0" applyFont="1" applyBorder="1"/>
    <xf numFmtId="165" fontId="4" fillId="0" borderId="17" xfId="0" applyNumberFormat="1" applyFont="1" applyBorder="1"/>
    <xf numFmtId="165" fontId="0" fillId="0" borderId="0" xfId="1" applyNumberFormat="1" applyFont="1" applyFill="1" applyBorder="1"/>
    <xf numFmtId="165" fontId="0" fillId="0" borderId="17" xfId="1" applyNumberFormat="1" applyFont="1" applyFill="1" applyBorder="1"/>
    <xf numFmtId="165" fontId="12" fillId="0" borderId="17" xfId="1" applyNumberFormat="1" applyFont="1" applyFill="1" applyBorder="1"/>
    <xf numFmtId="165" fontId="12" fillId="0" borderId="18" xfId="1" applyNumberFormat="1" applyFont="1" applyFill="1" applyBorder="1"/>
    <xf numFmtId="0" fontId="0" fillId="0" borderId="4" xfId="0" applyFill="1" applyBorder="1"/>
    <xf numFmtId="9" fontId="0" fillId="0" borderId="0" xfId="2" applyFont="1" applyFill="1"/>
    <xf numFmtId="0" fontId="0" fillId="0" borderId="5" xfId="0" applyFill="1" applyBorder="1"/>
    <xf numFmtId="0" fontId="0" fillId="0" borderId="18" xfId="0" applyFill="1" applyBorder="1"/>
    <xf numFmtId="0" fontId="4" fillId="0" borderId="11" xfId="0" applyFont="1" applyFill="1" applyBorder="1"/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3" fontId="14" fillId="0" borderId="44" xfId="0" applyNumberFormat="1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3" fontId="14" fillId="0" borderId="47" xfId="0" applyNumberFormat="1" applyFont="1" applyBorder="1" applyAlignment="1">
      <alignment vertical="center" wrapText="1"/>
    </xf>
    <xf numFmtId="0" fontId="0" fillId="7" borderId="0" xfId="0" applyFill="1" applyAlignment="1">
      <alignment horizontal="center"/>
    </xf>
    <xf numFmtId="0" fontId="14" fillId="0" borderId="46" xfId="0" applyFont="1" applyBorder="1" applyAlignment="1">
      <alignment horizontal="right" vertical="center" wrapText="1"/>
    </xf>
    <xf numFmtId="0" fontId="0" fillId="0" borderId="55" xfId="0" applyBorder="1"/>
    <xf numFmtId="1" fontId="0" fillId="0" borderId="55" xfId="0" applyNumberFormat="1" applyBorder="1"/>
    <xf numFmtId="165" fontId="18" fillId="2" borderId="23" xfId="3" applyNumberFormat="1" applyFont="1" applyBorder="1"/>
    <xf numFmtId="9" fontId="0" fillId="0" borderId="4" xfId="2" applyFont="1" applyBorder="1"/>
    <xf numFmtId="1" fontId="0" fillId="0" borderId="0" xfId="0" applyNumberFormat="1" applyFont="1" applyBorder="1"/>
    <xf numFmtId="1" fontId="6" fillId="0" borderId="0" xfId="0" applyNumberFormat="1" applyFont="1" applyBorder="1"/>
    <xf numFmtId="1" fontId="12" fillId="0" borderId="9" xfId="0" applyNumberFormat="1" applyFont="1" applyBorder="1"/>
    <xf numFmtId="165" fontId="12" fillId="6" borderId="4" xfId="1" applyNumberFormat="1" applyFont="1" applyFill="1" applyBorder="1"/>
    <xf numFmtId="9" fontId="12" fillId="0" borderId="4" xfId="2" applyFont="1" applyFill="1" applyBorder="1"/>
    <xf numFmtId="9" fontId="12" fillId="0" borderId="0" xfId="2" applyFont="1" applyFill="1" applyBorder="1"/>
    <xf numFmtId="9" fontId="12" fillId="0" borderId="17" xfId="2" applyFont="1" applyFill="1" applyBorder="1"/>
    <xf numFmtId="9" fontId="0" fillId="0" borderId="18" xfId="2" applyFont="1" applyFill="1" applyBorder="1"/>
    <xf numFmtId="168" fontId="0" fillId="5" borderId="7" xfId="1" applyNumberFormat="1" applyFont="1" applyFill="1" applyBorder="1" applyAlignment="1" applyProtection="1">
      <alignment horizontal="left"/>
      <protection locked="0"/>
    </xf>
    <xf numFmtId="164" fontId="0" fillId="0" borderId="0" xfId="1" applyNumberFormat="1" applyFont="1" applyBorder="1"/>
    <xf numFmtId="168" fontId="0" fillId="4" borderId="0" xfId="1" applyNumberFormat="1" applyFont="1" applyFill="1"/>
    <xf numFmtId="0" fontId="3" fillId="0" borderId="0" xfId="0" applyFont="1" applyFill="1"/>
    <xf numFmtId="0" fontId="3" fillId="0" borderId="3" xfId="0" applyFont="1" applyFill="1" applyBorder="1"/>
    <xf numFmtId="0" fontId="3" fillId="0" borderId="6" xfId="0" applyFont="1" applyFill="1" applyBorder="1"/>
    <xf numFmtId="0" fontId="3" fillId="0" borderId="16" xfId="0" applyFont="1" applyFill="1" applyBorder="1"/>
    <xf numFmtId="165" fontId="0" fillId="0" borderId="5" xfId="0" applyNumberFormat="1" applyBorder="1"/>
    <xf numFmtId="165" fontId="0" fillId="0" borderId="7" xfId="0" applyNumberFormat="1" applyBorder="1"/>
    <xf numFmtId="165" fontId="3" fillId="0" borderId="0" xfId="0" applyNumberFormat="1" applyFont="1" applyBorder="1"/>
    <xf numFmtId="167" fontId="2" fillId="2" borderId="1" xfId="3" applyNumberFormat="1" applyBorder="1"/>
    <xf numFmtId="167" fontId="0" fillId="0" borderId="7" xfId="2" applyNumberFormat="1" applyFont="1" applyBorder="1"/>
    <xf numFmtId="0" fontId="4" fillId="0" borderId="0" xfId="0" applyFont="1" applyFill="1"/>
    <xf numFmtId="0" fontId="0" fillId="0" borderId="56" xfId="0" applyFill="1" applyBorder="1"/>
    <xf numFmtId="165" fontId="0" fillId="0" borderId="2" xfId="1" applyNumberFormat="1" applyFont="1" applyFill="1" applyBorder="1"/>
    <xf numFmtId="164" fontId="12" fillId="0" borderId="9" xfId="1" applyFont="1" applyBorder="1"/>
    <xf numFmtId="164" fontId="0" fillId="0" borderId="9" xfId="1" applyFont="1" applyBorder="1"/>
    <xf numFmtId="1" fontId="0" fillId="0" borderId="0" xfId="0" applyNumberFormat="1" applyBorder="1"/>
    <xf numFmtId="1" fontId="0" fillId="0" borderId="7" xfId="0" applyNumberFormat="1" applyBorder="1"/>
    <xf numFmtId="167" fontId="0" fillId="0" borderId="56" xfId="2" applyNumberFormat="1" applyFont="1" applyBorder="1"/>
    <xf numFmtId="167" fontId="0" fillId="0" borderId="2" xfId="2" applyNumberFormat="1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165" fontId="0" fillId="0" borderId="61" xfId="1" applyNumberFormat="1" applyFont="1" applyBorder="1"/>
    <xf numFmtId="0" fontId="0" fillId="0" borderId="62" xfId="0" applyBorder="1"/>
    <xf numFmtId="165" fontId="0" fillId="0" borderId="63" xfId="1" applyNumberFormat="1" applyFont="1" applyBorder="1"/>
    <xf numFmtId="9" fontId="0" fillId="0" borderId="0" xfId="0" applyNumberFormat="1" applyBorder="1"/>
    <xf numFmtId="165" fontId="0" fillId="0" borderId="62" xfId="1" applyNumberFormat="1" applyFont="1" applyBorder="1"/>
    <xf numFmtId="0" fontId="21" fillId="8" borderId="53" xfId="0" applyFont="1" applyFill="1" applyBorder="1" applyAlignment="1">
      <alignment vertical="top"/>
    </xf>
    <xf numFmtId="0" fontId="21" fillId="8" borderId="13" xfId="0" applyFont="1" applyFill="1" applyBorder="1" applyAlignment="1">
      <alignment vertical="top"/>
    </xf>
    <xf numFmtId="0" fontId="21" fillId="8" borderId="55" xfId="0" applyFont="1" applyFill="1" applyBorder="1"/>
    <xf numFmtId="0" fontId="21" fillId="8" borderId="55" xfId="0" applyFont="1" applyFill="1" applyBorder="1" applyAlignment="1">
      <alignment horizontal="center"/>
    </xf>
    <xf numFmtId="0" fontId="22" fillId="0" borderId="54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7" fillId="0" borderId="5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6" fontId="17" fillId="0" borderId="55" xfId="0" applyNumberFormat="1" applyFont="1" applyBorder="1" applyAlignment="1">
      <alignment horizontal="center" vertical="center"/>
    </xf>
    <xf numFmtId="1" fontId="0" fillId="0" borderId="0" xfId="0" applyNumberFormat="1"/>
    <xf numFmtId="1" fontId="0" fillId="6" borderId="55" xfId="0" applyNumberFormat="1" applyFill="1" applyBorder="1"/>
    <xf numFmtId="0" fontId="23" fillId="0" borderId="55" xfId="0" applyFont="1" applyBorder="1" applyAlignment="1">
      <alignment vertical="center"/>
    </xf>
    <xf numFmtId="0" fontId="12" fillId="0" borderId="57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166" fontId="0" fillId="0" borderId="0" xfId="0" applyNumberFormat="1"/>
    <xf numFmtId="165" fontId="0" fillId="0" borderId="10" xfId="1" applyNumberFormat="1" applyFont="1" applyFill="1" applyBorder="1"/>
    <xf numFmtId="165" fontId="0" fillId="0" borderId="0" xfId="1" applyNumberFormat="1" applyFont="1" applyFill="1"/>
    <xf numFmtId="164" fontId="3" fillId="0" borderId="0" xfId="1" applyNumberFormat="1" applyFont="1" applyBorder="1"/>
    <xf numFmtId="164" fontId="0" fillId="0" borderId="5" xfId="0" applyNumberFormat="1" applyBorder="1"/>
    <xf numFmtId="165" fontId="24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165" fontId="0" fillId="0" borderId="0" xfId="0" applyNumberFormat="1" applyFill="1"/>
    <xf numFmtId="164" fontId="0" fillId="0" borderId="0" xfId="0" applyNumberFormat="1" applyFill="1"/>
    <xf numFmtId="3" fontId="0" fillId="0" borderId="53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1" fontId="0" fillId="0" borderId="9" xfId="0" applyNumberFormat="1" applyBorder="1"/>
    <xf numFmtId="1" fontId="0" fillId="0" borderId="53" xfId="0" applyNumberFormat="1" applyBorder="1"/>
    <xf numFmtId="0" fontId="0" fillId="0" borderId="33" xfId="0" applyBorder="1"/>
    <xf numFmtId="165" fontId="2" fillId="2" borderId="64" xfId="3" applyNumberFormat="1" applyBorder="1"/>
    <xf numFmtId="165" fontId="2" fillId="2" borderId="5" xfId="3" applyNumberFormat="1" applyBorder="1"/>
    <xf numFmtId="165" fontId="0" fillId="6" borderId="9" xfId="1" applyNumberFormat="1" applyFont="1" applyFill="1" applyBorder="1"/>
    <xf numFmtId="165" fontId="0" fillId="6" borderId="10" xfId="1" applyNumberFormat="1" applyFont="1" applyFill="1" applyBorder="1"/>
    <xf numFmtId="165" fontId="2" fillId="2" borderId="32" xfId="3" applyNumberFormat="1" applyBorder="1"/>
    <xf numFmtId="165" fontId="2" fillId="2" borderId="65" xfId="3" applyNumberFormat="1" applyBorder="1"/>
    <xf numFmtId="165" fontId="2" fillId="2" borderId="62" xfId="3" applyNumberFormat="1" applyBorder="1"/>
    <xf numFmtId="165" fontId="2" fillId="2" borderId="66" xfId="3" applyNumberFormat="1" applyBorder="1"/>
    <xf numFmtId="165" fontId="2" fillId="2" borderId="67" xfId="3" applyNumberFormat="1" applyBorder="1"/>
    <xf numFmtId="165" fontId="0" fillId="0" borderId="67" xfId="1" applyNumberFormat="1" applyFont="1" applyBorder="1"/>
    <xf numFmtId="165" fontId="2" fillId="2" borderId="68" xfId="3" applyNumberFormat="1" applyBorder="1"/>
    <xf numFmtId="9" fontId="2" fillId="2" borderId="68" xfId="2" applyFont="1" applyFill="1" applyBorder="1"/>
    <xf numFmtId="0" fontId="25" fillId="0" borderId="6" xfId="0" applyFont="1" applyBorder="1"/>
    <xf numFmtId="165" fontId="25" fillId="0" borderId="0" xfId="1" applyNumberFormat="1" applyFont="1" applyBorder="1"/>
    <xf numFmtId="0" fontId="26" fillId="0" borderId="29" xfId="0" applyFont="1" applyBorder="1"/>
    <xf numFmtId="165" fontId="26" fillId="0" borderId="27" xfId="0" applyNumberFormat="1" applyFont="1" applyBorder="1"/>
    <xf numFmtId="0" fontId="25" fillId="0" borderId="16" xfId="0" applyFont="1" applyBorder="1"/>
    <xf numFmtId="165" fontId="25" fillId="0" borderId="17" xfId="1" applyNumberFormat="1" applyFont="1" applyBorder="1"/>
    <xf numFmtId="165" fontId="14" fillId="0" borderId="0" xfId="1" applyNumberFormat="1" applyFont="1"/>
    <xf numFmtId="9" fontId="2" fillId="2" borderId="25" xfId="2" applyFont="1" applyFill="1" applyBorder="1"/>
    <xf numFmtId="0" fontId="0" fillId="6" borderId="8" xfId="0" applyFill="1" applyBorder="1"/>
    <xf numFmtId="0" fontId="0" fillId="6" borderId="9" xfId="0" applyFill="1" applyBorder="1"/>
    <xf numFmtId="167" fontId="0" fillId="6" borderId="7" xfId="0" applyNumberFormat="1" applyFill="1" applyBorder="1"/>
    <xf numFmtId="0" fontId="12" fillId="6" borderId="9" xfId="0" applyFont="1" applyFill="1" applyBorder="1"/>
    <xf numFmtId="165" fontId="12" fillId="6" borderId="9" xfId="1" applyNumberFormat="1" applyFont="1" applyFill="1" applyBorder="1"/>
    <xf numFmtId="165" fontId="12" fillId="6" borderId="10" xfId="1" applyNumberFormat="1" applyFont="1" applyFill="1" applyBorder="1"/>
    <xf numFmtId="0" fontId="0" fillId="0" borderId="0" xfId="0" applyFont="1" applyFill="1" applyBorder="1"/>
    <xf numFmtId="0" fontId="27" fillId="0" borderId="0" xfId="0" applyFont="1" applyBorder="1" applyAlignment="1">
      <alignment vertical="center"/>
    </xf>
    <xf numFmtId="0" fontId="0" fillId="0" borderId="53" xfId="0" applyBorder="1"/>
    <xf numFmtId="169" fontId="0" fillId="0" borderId="0" xfId="0" applyNumberFormat="1"/>
    <xf numFmtId="0" fontId="14" fillId="0" borderId="44" xfId="0" applyFont="1" applyBorder="1" applyAlignment="1">
      <alignment vertical="center" wrapText="1"/>
    </xf>
    <xf numFmtId="165" fontId="12" fillId="6" borderId="5" xfId="1" applyNumberFormat="1" applyFont="1" applyFill="1" applyBorder="1"/>
    <xf numFmtId="165" fontId="14" fillId="0" borderId="10" xfId="1" applyNumberFormat="1" applyFont="1" applyFill="1" applyBorder="1" applyAlignment="1">
      <alignment horizontal="right" vertical="center" wrapText="1"/>
    </xf>
    <xf numFmtId="0" fontId="0" fillId="0" borderId="53" xfId="0" applyBorder="1" applyAlignment="1">
      <alignment horizontal="center"/>
    </xf>
    <xf numFmtId="165" fontId="2" fillId="0" borderId="1" xfId="1" applyNumberFormat="1" applyFont="1" applyFill="1" applyBorder="1"/>
    <xf numFmtId="165" fontId="2" fillId="0" borderId="24" xfId="1" applyNumberFormat="1" applyFont="1" applyFill="1" applyBorder="1"/>
    <xf numFmtId="170" fontId="2" fillId="0" borderId="1" xfId="1" applyNumberFormat="1" applyFont="1" applyFill="1" applyBorder="1"/>
    <xf numFmtId="164" fontId="2" fillId="0" borderId="1" xfId="1" applyNumberFormat="1" applyFont="1" applyFill="1" applyBorder="1"/>
    <xf numFmtId="164" fontId="0" fillId="0" borderId="17" xfId="0" applyNumberFormat="1" applyFill="1" applyBorder="1"/>
    <xf numFmtId="0" fontId="28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wrapText="1"/>
    </xf>
    <xf numFmtId="2" fontId="12" fillId="6" borderId="22" xfId="3" applyNumberFormat="1" applyFont="1" applyFill="1" applyBorder="1"/>
    <xf numFmtId="167" fontId="12" fillId="6" borderId="1" xfId="3" applyNumberFormat="1" applyFont="1" applyFill="1" applyBorder="1"/>
    <xf numFmtId="164" fontId="0" fillId="0" borderId="0" xfId="1" applyFont="1" applyFill="1" applyBorder="1"/>
    <xf numFmtId="9" fontId="0" fillId="0" borderId="0" xfId="2" applyFont="1" applyFill="1" applyBorder="1"/>
    <xf numFmtId="9" fontId="0" fillId="0" borderId="17" xfId="2" applyFont="1" applyFill="1" applyBorder="1"/>
    <xf numFmtId="170" fontId="0" fillId="0" borderId="0" xfId="0" applyNumberFormat="1" applyFill="1"/>
    <xf numFmtId="165" fontId="12" fillId="0" borderId="4" xfId="1" applyNumberFormat="1" applyFont="1" applyFill="1" applyBorder="1" applyAlignment="1"/>
    <xf numFmtId="165" fontId="12" fillId="0" borderId="0" xfId="1" applyNumberFormat="1" applyFont="1" applyFill="1" applyBorder="1" applyAlignment="1"/>
    <xf numFmtId="0" fontId="12" fillId="0" borderId="0" xfId="0" applyFont="1" applyFill="1" applyBorder="1" applyAlignment="1"/>
    <xf numFmtId="165" fontId="0" fillId="0" borderId="13" xfId="1" applyNumberFormat="1" applyFont="1" applyFill="1" applyBorder="1"/>
    <xf numFmtId="0" fontId="32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>
      <alignment horizontal="left" wrapText="1" indent="1"/>
    </xf>
    <xf numFmtId="0" fontId="33" fillId="0" borderId="0" xfId="0" applyFont="1" applyBorder="1" applyAlignment="1">
      <alignment horizontal="right" indent="2"/>
    </xf>
    <xf numFmtId="0" fontId="12" fillId="0" borderId="0" xfId="0" applyFont="1" applyBorder="1"/>
    <xf numFmtId="0" fontId="0" fillId="9" borderId="0" xfId="0" applyFill="1"/>
    <xf numFmtId="3" fontId="34" fillId="0" borderId="0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" fontId="0" fillId="0" borderId="0" xfId="0" applyNumberFormat="1" applyFill="1"/>
    <xf numFmtId="171" fontId="0" fillId="0" borderId="0" xfId="0" applyNumberFormat="1"/>
    <xf numFmtId="0" fontId="22" fillId="0" borderId="10" xfId="0" applyFont="1" applyBorder="1" applyAlignment="1">
      <alignment horizontal="right" vertical="top"/>
    </xf>
    <xf numFmtId="165" fontId="0" fillId="9" borderId="0" xfId="0" applyNumberFormat="1" applyFill="1"/>
    <xf numFmtId="0" fontId="3" fillId="0" borderId="4" xfId="0" applyFont="1" applyBorder="1"/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0" fontId="14" fillId="0" borderId="44" xfId="0" applyFont="1" applyBorder="1" applyAlignment="1">
      <alignment vertical="center" wrapText="1"/>
    </xf>
    <xf numFmtId="0" fontId="28" fillId="0" borderId="0" xfId="0" applyFont="1"/>
    <xf numFmtId="0" fontId="28" fillId="0" borderId="28" xfId="0" applyFont="1" applyBorder="1"/>
    <xf numFmtId="173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165" fontId="0" fillId="10" borderId="0" xfId="1" applyNumberFormat="1" applyFont="1" applyFill="1" applyBorder="1"/>
    <xf numFmtId="0" fontId="14" fillId="0" borderId="44" xfId="0" applyFont="1" applyBorder="1" applyAlignment="1">
      <alignment vertical="center" wrapText="1"/>
    </xf>
    <xf numFmtId="0" fontId="4" fillId="0" borderId="5" xfId="0" applyFont="1" applyFill="1" applyBorder="1"/>
    <xf numFmtId="0" fontId="4" fillId="0" borderId="7" xfId="0" applyFont="1" applyFill="1" applyBorder="1"/>
    <xf numFmtId="164" fontId="12" fillId="0" borderId="10" xfId="1" applyFont="1" applyFill="1" applyBorder="1"/>
    <xf numFmtId="165" fontId="0" fillId="0" borderId="7" xfId="1" applyNumberFormat="1" applyFont="1" applyFill="1" applyBorder="1"/>
    <xf numFmtId="165" fontId="0" fillId="0" borderId="30" xfId="1" applyNumberFormat="1" applyFont="1" applyFill="1" applyBorder="1"/>
    <xf numFmtId="165" fontId="0" fillId="0" borderId="32" xfId="1" applyNumberFormat="1" applyFont="1" applyFill="1" applyBorder="1"/>
    <xf numFmtId="165" fontId="25" fillId="0" borderId="7" xfId="1" applyNumberFormat="1" applyFont="1" applyFill="1" applyBorder="1"/>
    <xf numFmtId="165" fontId="26" fillId="0" borderId="30" xfId="1" applyNumberFormat="1" applyFont="1" applyFill="1" applyBorder="1"/>
    <xf numFmtId="165" fontId="6" fillId="0" borderId="18" xfId="1" applyNumberFormat="1" applyFont="1" applyFill="1" applyBorder="1"/>
    <xf numFmtId="165" fontId="25" fillId="0" borderId="18" xfId="1" applyNumberFormat="1" applyFont="1" applyFill="1" applyBorder="1"/>
    <xf numFmtId="165" fontId="4" fillId="0" borderId="18" xfId="1" applyNumberFormat="1" applyFont="1" applyFill="1" applyBorder="1"/>
    <xf numFmtId="3" fontId="4" fillId="0" borderId="0" xfId="0" applyNumberFormat="1" applyFont="1" applyFill="1"/>
    <xf numFmtId="1" fontId="4" fillId="0" borderId="53" xfId="0" applyNumberFormat="1" applyFont="1" applyFill="1" applyBorder="1"/>
    <xf numFmtId="165" fontId="0" fillId="0" borderId="5" xfId="1" applyNumberFormat="1" applyFont="1" applyFill="1" applyBorder="1"/>
    <xf numFmtId="165" fontId="0" fillId="0" borderId="18" xfId="0" applyNumberFormat="1" applyFill="1" applyBorder="1"/>
    <xf numFmtId="9" fontId="12" fillId="0" borderId="5" xfId="0" applyNumberFormat="1" applyFont="1" applyFill="1" applyBorder="1" applyAlignment="1">
      <alignment horizontal="right" vertical="center"/>
    </xf>
    <xf numFmtId="9" fontId="12" fillId="0" borderId="7" xfId="0" applyNumberFormat="1" applyFont="1" applyFill="1" applyBorder="1" applyAlignment="1">
      <alignment horizontal="right" vertical="center"/>
    </xf>
    <xf numFmtId="165" fontId="0" fillId="9" borderId="61" xfId="1" applyNumberFormat="1" applyFont="1" applyFill="1" applyBorder="1"/>
    <xf numFmtId="165" fontId="0" fillId="9" borderId="63" xfId="1" applyNumberFormat="1" applyFont="1" applyFill="1" applyBorder="1"/>
    <xf numFmtId="0" fontId="4" fillId="9" borderId="5" xfId="0" applyFont="1" applyFill="1" applyBorder="1"/>
    <xf numFmtId="1" fontId="0" fillId="9" borderId="7" xfId="0" applyNumberFormat="1" applyFill="1" applyBorder="1"/>
    <xf numFmtId="1" fontId="12" fillId="9" borderId="10" xfId="0" applyNumberFormat="1" applyFont="1" applyFill="1" applyBorder="1"/>
    <xf numFmtId="165" fontId="2" fillId="9" borderId="0" xfId="1" applyNumberFormat="1" applyFont="1" applyFill="1" applyBorder="1" applyAlignment="1" applyProtection="1">
      <alignment horizontal="right"/>
      <protection locked="0"/>
    </xf>
    <xf numFmtId="165" fontId="0" fillId="9" borderId="0" xfId="1" applyNumberFormat="1" applyFont="1" applyFill="1" applyBorder="1"/>
    <xf numFmtId="165" fontId="0" fillId="9" borderId="17" xfId="1" applyNumberFormat="1" applyFont="1" applyFill="1" applyBorder="1"/>
    <xf numFmtId="0" fontId="5" fillId="9" borderId="0" xfId="4" applyFill="1"/>
    <xf numFmtId="3" fontId="14" fillId="0" borderId="46" xfId="0" applyNumberFormat="1" applyFont="1" applyBorder="1" applyAlignment="1">
      <alignment horizontal="right" vertical="center" wrapText="1"/>
    </xf>
    <xf numFmtId="165" fontId="0" fillId="9" borderId="0" xfId="1" applyNumberFormat="1" applyFont="1" applyFill="1"/>
    <xf numFmtId="9" fontId="0" fillId="9" borderId="61" xfId="0" applyNumberFormat="1" applyFill="1" applyBorder="1"/>
    <xf numFmtId="0" fontId="0" fillId="9" borderId="0" xfId="0" applyFill="1" applyBorder="1"/>
    <xf numFmtId="3" fontId="19" fillId="9" borderId="7" xfId="0" applyNumberFormat="1" applyFont="1" applyFill="1" applyBorder="1" applyAlignment="1">
      <alignment horizontal="right" wrapText="1"/>
    </xf>
    <xf numFmtId="10" fontId="0" fillId="0" borderId="0" xfId="2" applyNumberFormat="1" applyFont="1"/>
    <xf numFmtId="0" fontId="0" fillId="0" borderId="0" xfId="0" quotePrefix="1"/>
    <xf numFmtId="3" fontId="14" fillId="0" borderId="0" xfId="0" applyNumberFormat="1" applyFont="1" applyBorder="1" applyAlignment="1">
      <alignment horizontal="center" vertical="top" wrapText="1"/>
    </xf>
    <xf numFmtId="10" fontId="14" fillId="0" borderId="0" xfId="0" applyNumberFormat="1" applyFont="1" applyBorder="1" applyAlignment="1">
      <alignment horizontal="center" vertical="top" wrapText="1"/>
    </xf>
    <xf numFmtId="168" fontId="0" fillId="0" borderId="0" xfId="0" applyNumberFormat="1" applyBorder="1"/>
    <xf numFmtId="0" fontId="3" fillId="0" borderId="0" xfId="0" applyFont="1"/>
    <xf numFmtId="170" fontId="0" fillId="0" borderId="0" xfId="0" applyNumberFormat="1"/>
    <xf numFmtId="0" fontId="35" fillId="11" borderId="3" xfId="0" applyFont="1" applyFill="1" applyBorder="1"/>
    <xf numFmtId="0" fontId="0" fillId="11" borderId="4" xfId="0" applyFont="1" applyFill="1" applyBorder="1"/>
    <xf numFmtId="0" fontId="0" fillId="11" borderId="5" xfId="0" applyFont="1" applyFill="1" applyBorder="1"/>
    <xf numFmtId="0" fontId="36" fillId="6" borderId="6" xfId="0" applyFont="1" applyFill="1" applyBorder="1"/>
    <xf numFmtId="0" fontId="37" fillId="6" borderId="0" xfId="0" applyFont="1" applyFill="1" applyBorder="1" applyAlignment="1">
      <alignment horizontal="center"/>
    </xf>
    <xf numFmtId="0" fontId="37" fillId="6" borderId="7" xfId="0" applyFont="1" applyFill="1" applyBorder="1" applyAlignment="1">
      <alignment horizontal="center"/>
    </xf>
    <xf numFmtId="0" fontId="37" fillId="6" borderId="6" xfId="0" applyFont="1" applyFill="1" applyBorder="1"/>
    <xf numFmtId="0" fontId="28" fillId="0" borderId="6" xfId="0" applyFont="1" applyBorder="1" applyAlignment="1">
      <alignment horizontal="left" vertical="center" wrapText="1"/>
    </xf>
    <xf numFmtId="0" fontId="1" fillId="0" borderId="6" xfId="5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0" fontId="4" fillId="9" borderId="13" xfId="0" applyFont="1" applyFill="1" applyBorder="1"/>
    <xf numFmtId="171" fontId="12" fillId="0" borderId="0" xfId="0" applyNumberFormat="1" applyFont="1" applyFill="1" applyBorder="1"/>
    <xf numFmtId="165" fontId="0" fillId="0" borderId="0" xfId="2" applyNumberFormat="1" applyFont="1"/>
    <xf numFmtId="0" fontId="4" fillId="13" borderId="0" xfId="0" applyFont="1" applyFill="1"/>
    <xf numFmtId="2" fontId="4" fillId="13" borderId="0" xfId="0" applyNumberFormat="1" applyFont="1" applyFill="1"/>
    <xf numFmtId="165" fontId="4" fillId="13" borderId="0" xfId="0" applyNumberFormat="1" applyFont="1" applyFill="1"/>
    <xf numFmtId="0" fontId="0" fillId="13" borderId="0" xfId="0" applyFill="1"/>
    <xf numFmtId="165" fontId="25" fillId="13" borderId="0" xfId="0" applyNumberFormat="1" applyFont="1" applyFill="1"/>
    <xf numFmtId="9" fontId="0" fillId="10" borderId="0" xfId="2" applyFont="1" applyFill="1"/>
    <xf numFmtId="172" fontId="0" fillId="0" borderId="0" xfId="0" applyNumberFormat="1" applyFill="1"/>
    <xf numFmtId="165" fontId="0" fillId="0" borderId="61" xfId="1" applyNumberFormat="1" applyFont="1" applyFill="1" applyBorder="1"/>
    <xf numFmtId="165" fontId="12" fillId="0" borderId="9" xfId="1" applyNumberFormat="1" applyFont="1" applyFill="1" applyBorder="1" applyAlignment="1"/>
    <xf numFmtId="165" fontId="0" fillId="0" borderId="0" xfId="0" applyNumberFormat="1" applyFill="1" applyBorder="1" applyAlignment="1"/>
    <xf numFmtId="165" fontId="0" fillId="0" borderId="9" xfId="0" applyNumberFormat="1" applyFill="1" applyBorder="1" applyAlignment="1"/>
    <xf numFmtId="165" fontId="0" fillId="0" borderId="5" xfId="0" applyNumberFormat="1" applyFill="1" applyBorder="1"/>
    <xf numFmtId="167" fontId="0" fillId="9" borderId="57" xfId="2" applyNumberFormat="1" applyFont="1" applyFill="1" applyBorder="1"/>
    <xf numFmtId="0" fontId="4" fillId="9" borderId="0" xfId="0" applyFont="1" applyFill="1"/>
    <xf numFmtId="174" fontId="0" fillId="0" borderId="0" xfId="0" applyNumberFormat="1"/>
    <xf numFmtId="175" fontId="0" fillId="0" borderId="0" xfId="0" applyNumberFormat="1"/>
    <xf numFmtId="165" fontId="12" fillId="9" borderId="7" xfId="1" applyNumberFormat="1" applyFont="1" applyFill="1" applyBorder="1" applyAlignment="1"/>
    <xf numFmtId="4" fontId="0" fillId="0" borderId="0" xfId="0" applyNumberFormat="1" applyFill="1"/>
    <xf numFmtId="164" fontId="2" fillId="9" borderId="1" xfId="1" applyNumberFormat="1" applyFont="1" applyFill="1" applyBorder="1"/>
    <xf numFmtId="165" fontId="2" fillId="9" borderId="1" xfId="1" applyNumberFormat="1" applyFont="1" applyFill="1" applyBorder="1"/>
    <xf numFmtId="165" fontId="4" fillId="0" borderId="13" xfId="1" applyNumberFormat="1" applyFont="1" applyFill="1" applyBorder="1"/>
    <xf numFmtId="0" fontId="0" fillId="0" borderId="63" xfId="0" applyBorder="1"/>
    <xf numFmtId="0" fontId="4" fillId="0" borderId="0" xfId="0" applyFont="1" applyBorder="1" applyAlignment="1">
      <alignment wrapText="1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165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NumberFormat="1"/>
    <xf numFmtId="0" fontId="17" fillId="0" borderId="54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165" fontId="0" fillId="9" borderId="59" xfId="1" applyNumberFormat="1" applyFont="1" applyFill="1" applyBorder="1"/>
    <xf numFmtId="165" fontId="12" fillId="9" borderId="10" xfId="1" applyNumberFormat="1" applyFont="1" applyFill="1" applyBorder="1" applyAlignment="1"/>
    <xf numFmtId="0" fontId="19" fillId="9" borderId="7" xfId="0" applyFont="1" applyFill="1" applyBorder="1" applyAlignment="1">
      <alignment horizontal="right" wrapText="1"/>
    </xf>
    <xf numFmtId="3" fontId="20" fillId="9" borderId="7" xfId="0" applyNumberFormat="1" applyFont="1" applyFill="1" applyBorder="1" applyAlignment="1">
      <alignment horizontal="right" wrapText="1"/>
    </xf>
    <xf numFmtId="165" fontId="0" fillId="0" borderId="4" xfId="0" applyNumberFormat="1" applyFill="1" applyBorder="1"/>
    <xf numFmtId="1" fontId="12" fillId="0" borderId="0" xfId="0" applyNumberFormat="1" applyFont="1" applyBorder="1"/>
    <xf numFmtId="165" fontId="19" fillId="9" borderId="7" xfId="1" applyNumberFormat="1" applyFont="1" applyFill="1" applyBorder="1" applyAlignment="1">
      <alignment horizontal="right" wrapText="1"/>
    </xf>
    <xf numFmtId="165" fontId="0" fillId="14" borderId="0" xfId="1" applyNumberFormat="1" applyFont="1" applyFill="1" applyBorder="1"/>
    <xf numFmtId="165" fontId="0" fillId="15" borderId="0" xfId="1" applyNumberFormat="1" applyFont="1" applyFill="1" applyBorder="1"/>
    <xf numFmtId="165" fontId="0" fillId="15" borderId="27" xfId="1" applyNumberFormat="1" applyFont="1" applyFill="1" applyBorder="1"/>
    <xf numFmtId="165" fontId="0" fillId="16" borderId="0" xfId="1" applyNumberFormat="1" applyFont="1" applyFill="1" applyBorder="1"/>
    <xf numFmtId="165" fontId="0" fillId="7" borderId="0" xfId="1" applyNumberFormat="1" applyFont="1" applyFill="1" applyBorder="1"/>
    <xf numFmtId="165" fontId="0" fillId="17" borderId="0" xfId="1" applyNumberFormat="1" applyFont="1" applyFill="1" applyBorder="1"/>
    <xf numFmtId="165" fontId="0" fillId="17" borderId="28" xfId="1" applyNumberFormat="1" applyFont="1" applyFill="1" applyBorder="1"/>
    <xf numFmtId="165" fontId="3" fillId="12" borderId="0" xfId="1" applyNumberFormat="1" applyFont="1" applyFill="1" applyBorder="1"/>
    <xf numFmtId="165" fontId="3" fillId="0" borderId="0" xfId="1" applyNumberFormat="1" applyFont="1" applyBorder="1"/>
    <xf numFmtId="165" fontId="3" fillId="0" borderId="7" xfId="1" applyNumberFormat="1" applyFont="1" applyFill="1" applyBorder="1"/>
    <xf numFmtId="0" fontId="39" fillId="0" borderId="6" xfId="0" applyFont="1" applyBorder="1"/>
    <xf numFmtId="165" fontId="39" fillId="0" borderId="0" xfId="1" applyNumberFormat="1" applyFont="1" applyBorder="1"/>
    <xf numFmtId="165" fontId="39" fillId="0" borderId="7" xfId="1" applyNumberFormat="1" applyFont="1" applyFill="1" applyBorder="1"/>
    <xf numFmtId="165" fontId="0" fillId="0" borderId="30" xfId="1" applyNumberFormat="1" applyFont="1" applyBorder="1"/>
    <xf numFmtId="3" fontId="19" fillId="9" borderId="5" xfId="0" applyNumberFormat="1" applyFont="1" applyFill="1" applyBorder="1" applyAlignment="1">
      <alignment horizontal="right" wrapText="1"/>
    </xf>
    <xf numFmtId="165" fontId="12" fillId="9" borderId="4" xfId="1" applyNumberFormat="1" applyFont="1" applyFill="1" applyBorder="1" applyAlignment="1"/>
    <xf numFmtId="0" fontId="4" fillId="9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165" fontId="12" fillId="0" borderId="9" xfId="1" applyNumberFormat="1" applyFont="1" applyBorder="1"/>
    <xf numFmtId="165" fontId="0" fillId="9" borderId="5" xfId="0" applyNumberFormat="1" applyFill="1" applyBorder="1"/>
    <xf numFmtId="165" fontId="0" fillId="9" borderId="7" xfId="0" applyNumberFormat="1" applyFill="1" applyBorder="1"/>
    <xf numFmtId="164" fontId="0" fillId="9" borderId="7" xfId="1" applyFont="1" applyFill="1" applyBorder="1"/>
    <xf numFmtId="165" fontId="0" fillId="9" borderId="7" xfId="1" applyNumberFormat="1" applyFont="1" applyFill="1" applyBorder="1"/>
    <xf numFmtId="165" fontId="0" fillId="9" borderId="10" xfId="1" applyNumberFormat="1" applyFont="1" applyFill="1" applyBorder="1"/>
    <xf numFmtId="165" fontId="0" fillId="9" borderId="10" xfId="0" applyNumberFormat="1" applyFill="1" applyBorder="1"/>
    <xf numFmtId="165" fontId="12" fillId="9" borderId="5" xfId="1" applyNumberFormat="1" applyFont="1" applyFill="1" applyBorder="1"/>
    <xf numFmtId="165" fontId="12" fillId="9" borderId="7" xfId="1" applyNumberFormat="1" applyFont="1" applyFill="1" applyBorder="1"/>
    <xf numFmtId="165" fontId="12" fillId="9" borderId="10" xfId="1" applyNumberFormat="1" applyFont="1" applyFill="1" applyBorder="1"/>
    <xf numFmtId="165" fontId="12" fillId="9" borderId="0" xfId="1" applyNumberFormat="1" applyFont="1" applyFill="1" applyBorder="1"/>
    <xf numFmtId="9" fontId="12" fillId="9" borderId="5" xfId="2" applyFont="1" applyFill="1" applyBorder="1"/>
    <xf numFmtId="9" fontId="12" fillId="9" borderId="7" xfId="2" applyFont="1" applyFill="1" applyBorder="1"/>
    <xf numFmtId="9" fontId="12" fillId="9" borderId="18" xfId="2" applyFont="1" applyFill="1" applyBorder="1"/>
    <xf numFmtId="165" fontId="0" fillId="9" borderId="18" xfId="1" applyNumberFormat="1" applyFont="1" applyFill="1" applyBorder="1"/>
    <xf numFmtId="165" fontId="12" fillId="9" borderId="18" xfId="1" applyNumberFormat="1" applyFont="1" applyFill="1" applyBorder="1"/>
    <xf numFmtId="165" fontId="0" fillId="9" borderId="7" xfId="0" applyNumberFormat="1" applyFill="1" applyBorder="1" applyAlignment="1"/>
    <xf numFmtId="165" fontId="0" fillId="9" borderId="10" xfId="0" applyNumberFormat="1" applyFill="1" applyBorder="1" applyAlignment="1"/>
    <xf numFmtId="9" fontId="0" fillId="9" borderId="5" xfId="2" applyFont="1" applyFill="1" applyBorder="1"/>
    <xf numFmtId="9" fontId="0" fillId="9" borderId="7" xfId="2" applyFont="1" applyFill="1" applyBorder="1"/>
    <xf numFmtId="9" fontId="0" fillId="9" borderId="18" xfId="2" applyFont="1" applyFill="1" applyBorder="1"/>
    <xf numFmtId="165" fontId="0" fillId="9" borderId="0" xfId="0" applyNumberFormat="1" applyFill="1" applyBorder="1"/>
    <xf numFmtId="167" fontId="0" fillId="9" borderId="0" xfId="2" applyNumberFormat="1" applyFont="1" applyFill="1"/>
    <xf numFmtId="9" fontId="0" fillId="9" borderId="0" xfId="2" applyFont="1" applyFill="1"/>
    <xf numFmtId="1" fontId="0" fillId="9" borderId="0" xfId="0" applyNumberFormat="1" applyFill="1"/>
    <xf numFmtId="3" fontId="4" fillId="0" borderId="0" xfId="0" applyNumberFormat="1" applyFont="1"/>
    <xf numFmtId="3" fontId="4" fillId="9" borderId="0" xfId="0" applyNumberFormat="1" applyFont="1" applyFill="1"/>
    <xf numFmtId="168" fontId="0" fillId="0" borderId="0" xfId="0" applyNumberFormat="1"/>
    <xf numFmtId="170" fontId="0" fillId="0" borderId="7" xfId="1" applyNumberFormat="1" applyFont="1" applyBorder="1"/>
    <xf numFmtId="170" fontId="0" fillId="0" borderId="0" xfId="1" applyNumberFormat="1" applyFont="1" applyBorder="1"/>
    <xf numFmtId="0" fontId="4" fillId="13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3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14" fillId="0" borderId="51" xfId="0" applyNumberFormat="1" applyFont="1" applyBorder="1" applyAlignment="1">
      <alignment horizontal="right" vertical="center" wrapText="1"/>
    </xf>
    <xf numFmtId="3" fontId="14" fillId="0" borderId="52" xfId="0" applyNumberFormat="1" applyFont="1" applyBorder="1" applyAlignment="1">
      <alignment horizontal="right" vertical="center" wrapText="1"/>
    </xf>
    <xf numFmtId="3" fontId="14" fillId="0" borderId="49" xfId="0" applyNumberFormat="1" applyFont="1" applyBorder="1" applyAlignment="1">
      <alignment vertical="center" wrapText="1"/>
    </xf>
    <xf numFmtId="3" fontId="14" fillId="0" borderId="50" xfId="0" applyNumberFormat="1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21" fillId="8" borderId="11" xfId="0" applyFont="1" applyFill="1" applyBorder="1" applyAlignment="1">
      <alignment vertical="top" wrapText="1"/>
    </xf>
    <xf numFmtId="0" fontId="21" fillId="8" borderId="13" xfId="0" applyFont="1" applyFill="1" applyBorder="1" applyAlignment="1">
      <alignment vertical="top" wrapText="1"/>
    </xf>
  </cellXfs>
  <cellStyles count="6">
    <cellStyle name="Input" xfId="3" builtinId="20"/>
    <cellStyle name="Komma" xfId="1" builtinId="3"/>
    <cellStyle name="Link" xfId="4" builtinId="8"/>
    <cellStyle name="Normal" xfId="0" builtinId="0"/>
    <cellStyle name="Normal 2" xfId="5" xr:uid="{00000000-0005-0000-0000-000004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Figurer!$R$13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Figurer!$N$14:$N$19</c:f>
              <c:strCache>
                <c:ptCount val="6"/>
                <c:pt idx="0">
                  <c:v>Kul</c:v>
                </c:pt>
                <c:pt idx="1">
                  <c:v>Naturgas</c:v>
                </c:pt>
                <c:pt idx="2">
                  <c:v>VE</c:v>
                </c:pt>
                <c:pt idx="3">
                  <c:v>Biomasse</c:v>
                </c:pt>
                <c:pt idx="4">
                  <c:v>Olie</c:v>
                </c:pt>
                <c:pt idx="5">
                  <c:v>Atomkraft</c:v>
                </c:pt>
              </c:strCache>
            </c:strRef>
          </c:cat>
          <c:val>
            <c:numRef>
              <c:f>Figurer!$R$14:$R$19</c:f>
              <c:numCache>
                <c:formatCode>0%</c:formatCode>
                <c:ptCount val="6"/>
                <c:pt idx="0">
                  <c:v>0.38418132069029687</c:v>
                </c:pt>
                <c:pt idx="1">
                  <c:v>0.10193972752136428</c:v>
                </c:pt>
                <c:pt idx="2">
                  <c:v>0.35189985151384445</c:v>
                </c:pt>
                <c:pt idx="3">
                  <c:v>0.13474101266823266</c:v>
                </c:pt>
                <c:pt idx="4">
                  <c:v>5.4749555099699856E-3</c:v>
                </c:pt>
                <c:pt idx="5">
                  <c:v>2.1763132096291667E-2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1-4787-A7EB-4DC98B37B601}"/>
            </c:ext>
          </c:extLst>
        </c:ser>
        <c:ser>
          <c:idx val="1"/>
          <c:order val="1"/>
          <c:tx>
            <c:strRef>
              <c:f>Figurer!$S$13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Figurer!$N$14:$N$19</c:f>
              <c:strCache>
                <c:ptCount val="6"/>
                <c:pt idx="0">
                  <c:v>Kul</c:v>
                </c:pt>
                <c:pt idx="1">
                  <c:v>Naturgas</c:v>
                </c:pt>
                <c:pt idx="2">
                  <c:v>VE</c:v>
                </c:pt>
                <c:pt idx="3">
                  <c:v>Biomasse</c:v>
                </c:pt>
                <c:pt idx="4">
                  <c:v>Olie</c:v>
                </c:pt>
                <c:pt idx="5">
                  <c:v>Atomkraft</c:v>
                </c:pt>
              </c:strCache>
            </c:strRef>
          </c:cat>
          <c:val>
            <c:numRef>
              <c:f>Figurer!$S$14:$S$19</c:f>
              <c:numCache>
                <c:formatCode>0%</c:formatCode>
                <c:ptCount val="6"/>
                <c:pt idx="0">
                  <c:v>0.30046380995508848</c:v>
                </c:pt>
                <c:pt idx="1">
                  <c:v>6.652030730056771E-2</c:v>
                </c:pt>
                <c:pt idx="2">
                  <c:v>0.46528943102371312</c:v>
                </c:pt>
                <c:pt idx="3">
                  <c:v>0.13368886579223474</c:v>
                </c:pt>
                <c:pt idx="4">
                  <c:v>4.4382387054640194E-3</c:v>
                </c:pt>
                <c:pt idx="5">
                  <c:v>2.959934722293199E-2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1-4787-A7EB-4DC98B37B601}"/>
            </c:ext>
          </c:extLst>
        </c:ser>
        <c:ser>
          <c:idx val="2"/>
          <c:order val="2"/>
          <c:tx>
            <c:strRef>
              <c:f>Figurer!$T$13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Figurer!$N$14:$N$19</c:f>
              <c:strCache>
                <c:ptCount val="6"/>
                <c:pt idx="0">
                  <c:v>Kul</c:v>
                </c:pt>
                <c:pt idx="1">
                  <c:v>Naturgas</c:v>
                </c:pt>
                <c:pt idx="2">
                  <c:v>VE</c:v>
                </c:pt>
                <c:pt idx="3">
                  <c:v>Biomasse</c:v>
                </c:pt>
                <c:pt idx="4">
                  <c:v>Olie</c:v>
                </c:pt>
                <c:pt idx="5">
                  <c:v>Atomkraft</c:v>
                </c:pt>
              </c:strCache>
            </c:strRef>
          </c:cat>
          <c:val>
            <c:numRef>
              <c:f>Figurer!$T$14:$T$19</c:f>
              <c:numCache>
                <c:formatCode>0%</c:formatCode>
                <c:ptCount val="6"/>
                <c:pt idx="0">
                  <c:v>0.18845748845200772</c:v>
                </c:pt>
                <c:pt idx="1">
                  <c:v>5.8065588112666995E-2</c:v>
                </c:pt>
                <c:pt idx="2">
                  <c:v>0.57610459910214673</c:v>
                </c:pt>
                <c:pt idx="3">
                  <c:v>0.13258121983605445</c:v>
                </c:pt>
                <c:pt idx="4">
                  <c:v>5.9130924145595299E-3</c:v>
                </c:pt>
                <c:pt idx="5">
                  <c:v>3.887801208256448E-2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1-4787-A7EB-4DC98B37B601}"/>
            </c:ext>
          </c:extLst>
        </c:ser>
        <c:ser>
          <c:idx val="3"/>
          <c:order val="3"/>
          <c:tx>
            <c:strRef>
              <c:f>Figurer!$U$13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Figurer!$N$14:$N$19</c:f>
              <c:strCache>
                <c:ptCount val="6"/>
                <c:pt idx="0">
                  <c:v>Kul</c:v>
                </c:pt>
                <c:pt idx="1">
                  <c:v>Naturgas</c:v>
                </c:pt>
                <c:pt idx="2">
                  <c:v>VE</c:v>
                </c:pt>
                <c:pt idx="3">
                  <c:v>Biomasse</c:v>
                </c:pt>
                <c:pt idx="4">
                  <c:v>Olie</c:v>
                </c:pt>
                <c:pt idx="5">
                  <c:v>Atomkraft</c:v>
                </c:pt>
              </c:strCache>
            </c:strRef>
          </c:cat>
          <c:val>
            <c:numRef>
              <c:f>Figurer!$U$14:$U$19</c:f>
              <c:numCache>
                <c:formatCode>0%</c:formatCode>
                <c:ptCount val="6"/>
                <c:pt idx="0">
                  <c:v>0.24</c:v>
                </c:pt>
                <c:pt idx="1">
                  <c:v>0.08</c:v>
                </c:pt>
                <c:pt idx="2">
                  <c:v>0.51</c:v>
                </c:pt>
                <c:pt idx="3">
                  <c:v>0.14000000000000001</c:v>
                </c:pt>
                <c:pt idx="4">
                  <c:v>5.9130924145595299E-3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1-4787-A7EB-4DC98B37B601}"/>
            </c:ext>
          </c:extLst>
        </c:ser>
        <c:ser>
          <c:idx val="4"/>
          <c:order val="4"/>
          <c:tx>
            <c:strRef>
              <c:f>Figurer!$V$13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Figurer!$N$14:$N$19</c:f>
              <c:strCache>
                <c:ptCount val="6"/>
                <c:pt idx="0">
                  <c:v>Kul</c:v>
                </c:pt>
                <c:pt idx="1">
                  <c:v>Naturgas</c:v>
                </c:pt>
                <c:pt idx="2">
                  <c:v>VE</c:v>
                </c:pt>
                <c:pt idx="3">
                  <c:v>Biomasse</c:v>
                </c:pt>
                <c:pt idx="4">
                  <c:v>Olie</c:v>
                </c:pt>
                <c:pt idx="5">
                  <c:v>Atomkraft</c:v>
                </c:pt>
              </c:strCache>
            </c:strRef>
          </c:cat>
          <c:val>
            <c:numRef>
              <c:f>Figurer!$V$14:$V$19</c:f>
              <c:numCache>
                <c:formatCode>0%</c:formatCode>
                <c:ptCount val="6"/>
                <c:pt idx="0">
                  <c:v>0.1671</c:v>
                </c:pt>
                <c:pt idx="1">
                  <c:v>6.4899999999999999E-2</c:v>
                </c:pt>
                <c:pt idx="2">
                  <c:v>0.55020000000000002</c:v>
                </c:pt>
                <c:pt idx="3">
                  <c:v>0.17780000000000001</c:v>
                </c:pt>
                <c:pt idx="4">
                  <c:v>5.0000000000000001E-3</c:v>
                </c:pt>
                <c:pt idx="5">
                  <c:v>3.49E-2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11-4787-A7EB-4DC98B37B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58240"/>
        <c:axId val="173260160"/>
      </c:barChart>
      <c:catAx>
        <c:axId val="1732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60160"/>
        <c:crosses val="autoZero"/>
        <c:auto val="1"/>
        <c:lblAlgn val="ctr"/>
        <c:lblOffset val="100"/>
        <c:noMultiLvlLbl val="0"/>
      </c:catAx>
      <c:valAx>
        <c:axId val="17326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2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69881889764278"/>
          <c:y val="0.15990303295421654"/>
          <c:w val="0.44138035870516185"/>
          <c:h val="0.73563393117526976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Figurer!$C$56:$C$59</c:f>
              <c:strCache>
                <c:ptCount val="4"/>
                <c:pt idx="0">
                  <c:v>Offentlige instutioner</c:v>
                </c:pt>
                <c:pt idx="1">
                  <c:v>Handel &amp; service</c:v>
                </c:pt>
                <c:pt idx="2">
                  <c:v>Boliger</c:v>
                </c:pt>
                <c:pt idx="3">
                  <c:v>Industri  </c:v>
                </c:pt>
              </c:strCache>
            </c:strRef>
          </c:cat>
          <c:val>
            <c:numRef>
              <c:f>Figurer!$D$56:$D$59</c:f>
              <c:numCache>
                <c:formatCode>_ * #,##0_ ;_ * \-#,##0_ ;_ * "-"??_ ;_ @_ </c:formatCode>
                <c:ptCount val="4"/>
                <c:pt idx="0">
                  <c:v>25286.573693678376</c:v>
                </c:pt>
                <c:pt idx="1">
                  <c:v>75904.587829944547</c:v>
                </c:pt>
                <c:pt idx="2">
                  <c:v>255409.75880850275</c:v>
                </c:pt>
                <c:pt idx="3">
                  <c:v>10362.93218883549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5-43F1-B185-7C4001DC0D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37021219805968"/>
          <c:y val="0.1708321500796007"/>
          <c:w val="0.40562591752302146"/>
          <c:h val="0.78465341422486934"/>
        </c:manualLayout>
      </c:layout>
      <c:pieChart>
        <c:varyColors val="1"/>
        <c:ser>
          <c:idx val="0"/>
          <c:order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Trafik
34%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77-4CE1-B64B-6F1143A34D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Figurer!$C$5:$C$9</c:f>
              <c:strCache>
                <c:ptCount val="5"/>
                <c:pt idx="0">
                  <c:v>Elforbrug</c:v>
                </c:pt>
                <c:pt idx="1">
                  <c:v>Fjernvarme</c:v>
                </c:pt>
                <c:pt idx="2">
                  <c:v>Trafik</c:v>
                </c:pt>
                <c:pt idx="3">
                  <c:v>Ind. opv. og bygas</c:v>
                </c:pt>
                <c:pt idx="4">
                  <c:v>Øvrige</c:v>
                </c:pt>
              </c:strCache>
            </c:strRef>
          </c:cat>
          <c:val>
            <c:numRef>
              <c:f>Figurer!$D$5:$D$9</c:f>
              <c:numCache>
                <c:formatCode>_ * #,##0_ ;_ * \-#,##0_ ;_ * "-"??_ ;_ @_ </c:formatCode>
                <c:ptCount val="5"/>
                <c:pt idx="0">
                  <c:v>424996.0117294559</c:v>
                </c:pt>
                <c:pt idx="1">
                  <c:v>337930.55799999996</c:v>
                </c:pt>
                <c:pt idx="2">
                  <c:v>465329.61559306429</c:v>
                </c:pt>
                <c:pt idx="3">
                  <c:v>31451.512266283728</c:v>
                </c:pt>
                <c:pt idx="4">
                  <c:v>117178.6352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7-4CE1-B64B-6F1143A34D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Figurer!$K$88</c:f>
              <c:strCache>
                <c:ptCount val="1"/>
                <c:pt idx="0">
                  <c:v>Samlet emission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Figurer!$L$87:$V$87</c:f>
              <c:numCache>
                <c:formatCode>General</c:formatCode>
                <c:ptCount val="11"/>
                <c:pt idx="0">
                  <c:v>2005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Figurer!$L$88:$V$88</c:f>
              <c:numCache>
                <c:formatCode>_ * #,##0_ ;_ * \-#,##0_ ;_ * "-"??_ ;_ @_ </c:formatCode>
                <c:ptCount val="11"/>
                <c:pt idx="0">
                  <c:v>2358255</c:v>
                </c:pt>
                <c:pt idx="1">
                  <c:v>2460484</c:v>
                </c:pt>
                <c:pt idx="2">
                  <c:v>2587200</c:v>
                </c:pt>
                <c:pt idx="3">
                  <c:v>2513704</c:v>
                </c:pt>
                <c:pt idx="4">
                  <c:v>1807299.7593769303</c:v>
                </c:pt>
                <c:pt idx="5">
                  <c:v>1807520.5262490371</c:v>
                </c:pt>
                <c:pt idx="6">
                  <c:v>1879637.8128134729</c:v>
                </c:pt>
                <c:pt idx="7">
                  <c:v>1644855.3112070584</c:v>
                </c:pt>
                <c:pt idx="8">
                  <c:v>1468040.9213343202</c:v>
                </c:pt>
                <c:pt idx="9">
                  <c:v>1574418.174608151</c:v>
                </c:pt>
                <c:pt idx="10">
                  <c:v>1376886.3327888038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3-4406-B2BB-F3AB8C411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6054784"/>
        <c:axId val="106056320"/>
      </c:barChart>
      <c:catAx>
        <c:axId val="1060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056320"/>
        <c:crosses val="autoZero"/>
        <c:auto val="1"/>
        <c:lblAlgn val="ctr"/>
        <c:lblOffset val="100"/>
        <c:noMultiLvlLbl val="0"/>
      </c:catAx>
      <c:valAx>
        <c:axId val="1060563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0605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90226433560221"/>
          <c:y val="0.11726732505259263"/>
          <c:w val="0.59957248987943013"/>
          <c:h val="0.8226694813738348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Figurer!$C$24:$C$29</c:f>
              <c:strCache>
                <c:ptCount val="6"/>
                <c:pt idx="0">
                  <c:v>Kommunale og andre offentlige</c:v>
                </c:pt>
                <c:pt idx="1">
                  <c:v>Handel og service</c:v>
                </c:pt>
                <c:pt idx="2">
                  <c:v>Private husholdninger</c:v>
                </c:pt>
                <c:pt idx="3">
                  <c:v>Industri</c:v>
                </c:pt>
                <c:pt idx="4">
                  <c:v>Landbrug/gartneri</c:v>
                </c:pt>
                <c:pt idx="5">
                  <c:v>Bygge og anlæg</c:v>
                </c:pt>
              </c:strCache>
            </c:strRef>
          </c:cat>
          <c:val>
            <c:numRef>
              <c:f>Figurer!$D$24:$D$29</c:f>
              <c:numCache>
                <c:formatCode>_ * #,##0_ ;_ * \-#,##0_ ;_ * "-"??_ ;_ @_ </c:formatCode>
                <c:ptCount val="6"/>
                <c:pt idx="0">
                  <c:v>468064.5004436301</c:v>
                </c:pt>
                <c:pt idx="1">
                  <c:v>925439.76699999999</c:v>
                </c:pt>
                <c:pt idx="2">
                  <c:v>662541.96200000006</c:v>
                </c:pt>
                <c:pt idx="3">
                  <c:v>200708.65599999999</c:v>
                </c:pt>
                <c:pt idx="4">
                  <c:v>177.13300000000001</c:v>
                </c:pt>
                <c:pt idx="5">
                  <c:v>74936.767999999996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A-4278-A361-A195456A9F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Figurer!$N$42</c:f>
              <c:strCache>
                <c:ptCount val="1"/>
                <c:pt idx="0">
                  <c:v>Solceller</c:v>
                </c:pt>
              </c:strCache>
            </c:strRef>
          </c:tx>
          <c:invertIfNegative val="0"/>
          <c:cat>
            <c:numRef>
              <c:f>Figurer!$P$13:$R$13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Figurer!$P$42:$R$42</c:f>
              <c:numCache>
                <c:formatCode>_ * #,##0_ ;_ * \-#,##0_ ;_ * "-"??_ ;_ @_ </c:formatCode>
                <c:ptCount val="3"/>
                <c:pt idx="0">
                  <c:v>105</c:v>
                </c:pt>
                <c:pt idx="1">
                  <c:v>1879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9-46F4-9096-C4B3C7BB0403}"/>
            </c:ext>
          </c:extLst>
        </c:ser>
        <c:ser>
          <c:idx val="1"/>
          <c:order val="1"/>
          <c:tx>
            <c:strRef>
              <c:f>Figurer!$N$43</c:f>
              <c:strCache>
                <c:ptCount val="1"/>
                <c:pt idx="0">
                  <c:v>Vindmøller</c:v>
                </c:pt>
              </c:strCache>
            </c:strRef>
          </c:tx>
          <c:invertIfNegative val="0"/>
          <c:cat>
            <c:numRef>
              <c:f>Figurer!$P$13:$R$13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Figurer!$P$43:$R$43</c:f>
              <c:numCache>
                <c:formatCode>_ * #,##0_ ;_ * \-#,##0_ ;_ * "-"??_ ;_ @_ </c:formatCode>
                <c:ptCount val="3"/>
                <c:pt idx="0">
                  <c:v>96465</c:v>
                </c:pt>
                <c:pt idx="1">
                  <c:v>99269.381492</c:v>
                </c:pt>
                <c:pt idx="2">
                  <c:v>86013.467338999995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9-46F4-9096-C4B3C7BB0403}"/>
            </c:ext>
          </c:extLst>
        </c:ser>
        <c:ser>
          <c:idx val="2"/>
          <c:order val="2"/>
          <c:tx>
            <c:strRef>
              <c:f>Figurer!$N$44</c:f>
              <c:strCache>
                <c:ptCount val="1"/>
                <c:pt idx="0">
                  <c:v>Affald (korrigeret for fossil andel)</c:v>
                </c:pt>
              </c:strCache>
            </c:strRef>
          </c:tx>
          <c:invertIfNegative val="0"/>
          <c:cat>
            <c:numRef>
              <c:f>Figurer!$P$13:$R$13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Figurer!$P$44:$R$44</c:f>
              <c:numCache>
                <c:formatCode>_ * #,##0_ ;_ * \-#,##0_ ;_ * "-"??_ ;_ @_ </c:formatCode>
                <c:ptCount val="3"/>
                <c:pt idx="0">
                  <c:v>132889</c:v>
                </c:pt>
                <c:pt idx="1">
                  <c:v>128517</c:v>
                </c:pt>
                <c:pt idx="2">
                  <c:v>126449.4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9-46F4-9096-C4B3C7BB0403}"/>
            </c:ext>
          </c:extLst>
        </c:ser>
        <c:ser>
          <c:idx val="3"/>
          <c:order val="3"/>
          <c:tx>
            <c:strRef>
              <c:f>Figurer!$N$45</c:f>
              <c:strCache>
                <c:ptCount val="1"/>
                <c:pt idx="0">
                  <c:v>Bomassebaseret el</c:v>
                </c:pt>
              </c:strCache>
            </c:strRef>
          </c:tx>
          <c:invertIfNegative val="0"/>
          <c:cat>
            <c:numRef>
              <c:f>Figurer!$P$13:$R$13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Figurer!$P$45:$R$45</c:f>
              <c:numCache>
                <c:formatCode>_ * #,##0_ ;_ * \-#,##0_ ;_ * "-"??_ ;_ @_ </c:formatCode>
                <c:ptCount val="3"/>
                <c:pt idx="0">
                  <c:v>483758</c:v>
                </c:pt>
                <c:pt idx="1">
                  <c:v>271956</c:v>
                </c:pt>
                <c:pt idx="2">
                  <c:v>202230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89-46F4-9096-C4B3C7BB0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00224"/>
        <c:axId val="106101760"/>
      </c:barChart>
      <c:catAx>
        <c:axId val="1061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101760"/>
        <c:crosses val="autoZero"/>
        <c:auto val="1"/>
        <c:lblAlgn val="ctr"/>
        <c:lblOffset val="100"/>
        <c:noMultiLvlLbl val="0"/>
      </c:catAx>
      <c:valAx>
        <c:axId val="106101760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1061002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154781</xdr:colOff>
      <xdr:row>53</xdr:row>
      <xdr:rowOff>119063</xdr:rowOff>
    </xdr:from>
    <xdr:to>
      <xdr:col>12</xdr:col>
      <xdr:colOff>154781</xdr:colOff>
      <xdr:row>65</xdr:row>
      <xdr:rowOff>357187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59531</xdr:colOff>
      <xdr:row>0</xdr:row>
      <xdr:rowOff>47626</xdr:rowOff>
    </xdr:from>
    <xdr:to>
      <xdr:col>12</xdr:col>
      <xdr:colOff>59531</xdr:colOff>
      <xdr:row>10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762000</xdr:colOff>
      <xdr:row>94</xdr:row>
      <xdr:rowOff>178594</xdr:rowOff>
    </xdr:from>
    <xdr:to>
      <xdr:col>20</xdr:col>
      <xdr:colOff>11907</xdr:colOff>
      <xdr:row>111</xdr:row>
      <xdr:rowOff>178594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1238250</xdr:colOff>
      <xdr:row>22</xdr:row>
      <xdr:rowOff>1</xdr:rowOff>
    </xdr:from>
    <xdr:to>
      <xdr:col>11</xdr:col>
      <xdr:colOff>785812</xdr:colOff>
      <xdr:row>39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12</xdr:col>
      <xdr:colOff>0</xdr:colOff>
      <xdr:row>47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92</xdr:row>
      <xdr:rowOff>104776</xdr:rowOff>
    </xdr:from>
    <xdr:to>
      <xdr:col>5</xdr:col>
      <xdr:colOff>533400</xdr:colOff>
      <xdr:row>95</xdr:row>
      <xdr:rowOff>133350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H="1" flipV="1">
          <a:off x="6000751" y="15220951"/>
          <a:ext cx="57149" cy="609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476251</xdr:colOff>
      <xdr:row>101</xdr:row>
      <xdr:rowOff>104776</xdr:rowOff>
    </xdr:from>
    <xdr:to>
      <xdr:col>5</xdr:col>
      <xdr:colOff>533400</xdr:colOff>
      <xdr:row>104</xdr:row>
      <xdr:rowOff>133350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1B623465-5D39-41FD-B02D-50E9944E09DE}"/>
            </a:ext>
          </a:extLst>
        </xdr:cNvPr>
        <xdr:cNvCxnSpPr/>
      </xdr:nvCxnSpPr>
      <xdr:spPr>
        <a:xfrm flipH="1" flipV="1">
          <a:off x="6000751" y="15220951"/>
          <a:ext cx="57149" cy="609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efor.dk/Erhverv/Energi/Fjernvarme/Graddage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1:O33"/>
  <sheetViews>
    <sheetView workbookViewId="0">
      <selection activeCell="K19" sqref="K19:K20"/>
    </sheetView>
  </sheetViews>
  <sheetFormatPr defaultRowHeight="15"/>
  <cols>
    <col min="1" max="1" width="5.42578125" customWidth="1"/>
    <col min="2" max="2" width="35.7109375" bestFit="1" customWidth="1"/>
    <col min="3" max="3" width="10.140625" bestFit="1" customWidth="1"/>
    <col min="4" max="4" width="11" bestFit="1" customWidth="1"/>
    <col min="5" max="5" width="12.85546875" bestFit="1" customWidth="1"/>
    <col min="6" max="6" width="13.140625" bestFit="1" customWidth="1"/>
    <col min="7" max="7" width="13" bestFit="1" customWidth="1"/>
    <col min="8" max="8" width="16.28515625" bestFit="1" customWidth="1"/>
    <col min="9" max="10" width="14.140625" customWidth="1"/>
    <col min="11" max="11" width="12" bestFit="1" customWidth="1"/>
    <col min="12" max="12" width="13.85546875" customWidth="1"/>
    <col min="13" max="13" width="9.7109375" bestFit="1" customWidth="1"/>
    <col min="14" max="14" width="18.140625" bestFit="1" customWidth="1"/>
  </cols>
  <sheetData>
    <row r="1" spans="2:15">
      <c r="C1" s="27" t="s">
        <v>55</v>
      </c>
      <c r="D1" s="27">
        <v>2010</v>
      </c>
      <c r="E1" s="27">
        <v>2011</v>
      </c>
      <c r="F1" s="27">
        <v>2012</v>
      </c>
      <c r="G1" s="27">
        <v>2013</v>
      </c>
      <c r="H1" s="27">
        <v>2014</v>
      </c>
      <c r="I1" s="27">
        <v>2015</v>
      </c>
      <c r="J1" s="27">
        <v>2016</v>
      </c>
      <c r="K1" s="27">
        <v>2017</v>
      </c>
      <c r="N1" s="27" t="s">
        <v>148</v>
      </c>
    </row>
    <row r="2" spans="2:15">
      <c r="B2" t="s">
        <v>232</v>
      </c>
      <c r="D2" s="245"/>
      <c r="E2" s="124"/>
      <c r="F2" s="124">
        <v>745000</v>
      </c>
      <c r="G2" s="124">
        <v>653000</v>
      </c>
      <c r="H2" s="124">
        <v>748000</v>
      </c>
      <c r="I2" s="124">
        <v>569000</v>
      </c>
      <c r="J2" s="124">
        <f>'TIER 1'!B45*1000</f>
        <v>632000</v>
      </c>
      <c r="K2" s="441">
        <f>'TIER 1'!B64*1000</f>
        <v>651000</v>
      </c>
    </row>
    <row r="3" spans="2:15">
      <c r="B3" t="s">
        <v>222</v>
      </c>
      <c r="C3" t="s">
        <v>147</v>
      </c>
      <c r="D3" s="247"/>
      <c r="E3" s="32">
        <v>549050</v>
      </c>
      <c r="F3" s="32">
        <v>559440</v>
      </c>
      <c r="G3" s="32">
        <v>569557</v>
      </c>
      <c r="H3" s="32">
        <v>580295</v>
      </c>
      <c r="I3" s="32">
        <v>591481</v>
      </c>
      <c r="J3" s="32">
        <v>602481</v>
      </c>
      <c r="K3" s="377">
        <v>613288</v>
      </c>
      <c r="L3" s="346">
        <f>(K3-J3)*100/J3</f>
        <v>1.7937495124327572</v>
      </c>
    </row>
    <row r="4" spans="2:15">
      <c r="B4" t="s">
        <v>221</v>
      </c>
      <c r="C4" t="s">
        <v>147</v>
      </c>
      <c r="D4" s="247"/>
      <c r="E4" s="32">
        <v>5580516</v>
      </c>
      <c r="F4" s="32">
        <v>5602628</v>
      </c>
      <c r="G4" s="32">
        <v>5627235</v>
      </c>
      <c r="H4" s="32">
        <v>5659715</v>
      </c>
      <c r="I4" s="32">
        <v>5707251</v>
      </c>
      <c r="J4" s="32">
        <v>5748769</v>
      </c>
      <c r="K4" s="377">
        <v>5781190</v>
      </c>
    </row>
    <row r="5" spans="2:15">
      <c r="B5" t="s">
        <v>132</v>
      </c>
      <c r="C5" t="s">
        <v>147</v>
      </c>
      <c r="D5" s="247"/>
      <c r="E5" s="252">
        <v>0.98</v>
      </c>
      <c r="F5" s="252">
        <v>0.98</v>
      </c>
      <c r="G5" s="252">
        <v>0.98</v>
      </c>
      <c r="H5" s="252">
        <v>0.98</v>
      </c>
      <c r="I5" s="252">
        <v>0.98599999999999999</v>
      </c>
      <c r="J5" s="252">
        <v>0.98599999999999999</v>
      </c>
      <c r="K5" s="388">
        <v>0.98599999999999999</v>
      </c>
    </row>
    <row r="6" spans="2:15">
      <c r="B6" t="s">
        <v>133</v>
      </c>
      <c r="C6" t="s">
        <v>147</v>
      </c>
      <c r="D6" s="247"/>
      <c r="E6" s="31"/>
      <c r="F6" s="252">
        <v>0.46</v>
      </c>
      <c r="G6" s="252">
        <v>0.46</v>
      </c>
      <c r="H6" s="252">
        <v>0.46</v>
      </c>
      <c r="I6" s="252">
        <v>0.46</v>
      </c>
      <c r="J6" s="252">
        <v>0.5</v>
      </c>
      <c r="K6" s="388">
        <v>0.5</v>
      </c>
      <c r="N6" s="392" t="s">
        <v>294</v>
      </c>
    </row>
    <row r="7" spans="2:15">
      <c r="B7" t="s">
        <v>138</v>
      </c>
      <c r="C7" t="s">
        <v>25</v>
      </c>
      <c r="D7" s="253">
        <v>34250</v>
      </c>
      <c r="E7" s="126">
        <v>34250</v>
      </c>
      <c r="F7" s="126">
        <v>34251</v>
      </c>
      <c r="G7" s="32">
        <v>34252</v>
      </c>
      <c r="H7" s="32">
        <v>33471</v>
      </c>
      <c r="I7" s="32">
        <v>33616</v>
      </c>
      <c r="J7" s="32">
        <v>33987</v>
      </c>
      <c r="K7" s="378">
        <v>34015</v>
      </c>
    </row>
    <row r="8" spans="2:15" ht="15.75" thickBot="1">
      <c r="G8" s="71"/>
      <c r="H8" s="71"/>
      <c r="I8" s="71"/>
      <c r="J8" s="71"/>
      <c r="K8" s="188"/>
    </row>
    <row r="9" spans="2:15" ht="15.75" thickBot="1">
      <c r="B9" s="282" t="s">
        <v>144</v>
      </c>
      <c r="K9" s="188"/>
    </row>
    <row r="10" spans="2:15">
      <c r="B10" s="9" t="s">
        <v>218</v>
      </c>
      <c r="C10" s="10"/>
      <c r="D10" s="10"/>
      <c r="E10" s="93">
        <v>2011</v>
      </c>
      <c r="F10" s="93">
        <v>2012</v>
      </c>
      <c r="G10" s="93">
        <v>2013</v>
      </c>
      <c r="H10" s="93">
        <v>2014</v>
      </c>
      <c r="I10" s="93">
        <v>2015</v>
      </c>
      <c r="J10" s="93">
        <v>2016</v>
      </c>
      <c r="K10" s="379">
        <v>2017</v>
      </c>
    </row>
    <row r="11" spans="2:15">
      <c r="B11" s="30" t="s">
        <v>216</v>
      </c>
      <c r="C11" s="31" t="s">
        <v>220</v>
      </c>
      <c r="D11" s="217">
        <v>477.02324047435133</v>
      </c>
      <c r="E11" s="217">
        <v>404.88678659125731</v>
      </c>
      <c r="F11" s="241">
        <v>335.0250345839795</v>
      </c>
      <c r="G11" s="241">
        <v>401.2483995231392</v>
      </c>
      <c r="H11" s="241">
        <v>323.88630187203455</v>
      </c>
      <c r="I11" s="241">
        <v>229.53023251254081</v>
      </c>
      <c r="J11" s="241">
        <v>282</v>
      </c>
      <c r="K11" s="380">
        <v>213.01281295290801</v>
      </c>
      <c r="L11" s="268">
        <f>H11/0.95</f>
        <v>340.93294933898375</v>
      </c>
      <c r="M11" s="268">
        <f>I11/0.95</f>
        <v>241.61077106583244</v>
      </c>
      <c r="N11" s="268">
        <f>J11/0.95</f>
        <v>296.84210526315792</v>
      </c>
      <c r="O11" s="425" t="s">
        <v>313</v>
      </c>
    </row>
    <row r="12" spans="2:15">
      <c r="B12" s="30" t="s">
        <v>217</v>
      </c>
      <c r="C12" s="31" t="s">
        <v>220</v>
      </c>
      <c r="D12" s="241">
        <v>484.7998128825904</v>
      </c>
      <c r="E12" s="217">
        <v>411.64635210375678</v>
      </c>
      <c r="F12" s="216">
        <v>340.70887208037203</v>
      </c>
      <c r="G12" s="216">
        <v>406.79280951136167</v>
      </c>
      <c r="H12" s="216">
        <v>328.57713328652568</v>
      </c>
      <c r="I12" s="216">
        <v>233.30696453022833</v>
      </c>
      <c r="J12" s="216">
        <v>286.58094215496675</v>
      </c>
      <c r="K12" s="380">
        <v>217.225594806076</v>
      </c>
      <c r="L12" s="312"/>
      <c r="M12" s="312"/>
      <c r="O12" s="425" t="s">
        <v>314</v>
      </c>
    </row>
    <row r="13" spans="2:15" ht="15.75" thickBot="1">
      <c r="B13" s="19" t="s">
        <v>219</v>
      </c>
      <c r="C13" s="42" t="s">
        <v>220</v>
      </c>
      <c r="D13" s="218">
        <f>D11/0.95</f>
        <v>502.12972681510666</v>
      </c>
      <c r="E13" s="218">
        <f>E11/0.95</f>
        <v>426.19661746448139</v>
      </c>
      <c r="F13" s="218">
        <f t="shared" ref="F13:K13" si="0">F12/0.95</f>
        <v>358.64091797933901</v>
      </c>
      <c r="G13" s="218">
        <f t="shared" si="0"/>
        <v>428.20295738038072</v>
      </c>
      <c r="H13" s="218">
        <f t="shared" si="0"/>
        <v>345.87066661739544</v>
      </c>
      <c r="I13" s="218">
        <f t="shared" si="0"/>
        <v>245.58627845287194</v>
      </c>
      <c r="J13" s="466">
        <f t="shared" si="0"/>
        <v>301.66414963680711</v>
      </c>
      <c r="K13" s="381">
        <f t="shared" si="0"/>
        <v>228.65852084850107</v>
      </c>
      <c r="L13" s="410">
        <f>(J13-I13)*100/I13</f>
        <v>22.834285179616227</v>
      </c>
      <c r="M13" s="410">
        <f>(K13-J13)*100/J13</f>
        <v>-24.200962850972584</v>
      </c>
    </row>
    <row r="15" spans="2:15">
      <c r="D15" s="243">
        <f t="shared" ref="D15:I15" si="1">(D12-D11)/D11</f>
        <v>1.6302292526682898E-2</v>
      </c>
      <c r="E15" s="244">
        <f t="shared" si="1"/>
        <v>1.6694952110954949E-2</v>
      </c>
      <c r="F15" s="244">
        <f t="shared" si="1"/>
        <v>1.6965411266804245E-2</v>
      </c>
      <c r="G15" s="244">
        <f t="shared" si="1"/>
        <v>1.3817899323241373E-2</v>
      </c>
      <c r="H15" s="244">
        <f>(H12-H11)/H11</f>
        <v>1.4482957097532476E-2</v>
      </c>
      <c r="I15" s="244">
        <f t="shared" si="1"/>
        <v>1.6454181117431549E-2</v>
      </c>
      <c r="J15" s="244">
        <f>(J12-J11)/J11</f>
        <v>1.6244475726832443E-2</v>
      </c>
      <c r="K15" s="424">
        <f>(K12-K11)/K11</f>
        <v>1.9777128872052126E-2</v>
      </c>
    </row>
    <row r="18" spans="2:11">
      <c r="B18" t="s">
        <v>237</v>
      </c>
      <c r="C18" t="s">
        <v>62</v>
      </c>
      <c r="D18" s="245"/>
      <c r="E18" s="71"/>
      <c r="F18" s="71"/>
      <c r="G18" s="246">
        <v>90</v>
      </c>
      <c r="I18" s="263">
        <f>I11/0.95</f>
        <v>241.61077106583244</v>
      </c>
      <c r="J18" s="263">
        <f>J11/0.95</f>
        <v>296.84210526315792</v>
      </c>
      <c r="K18" s="490">
        <f>K11/0.95</f>
        <v>224.22401363464002</v>
      </c>
    </row>
    <row r="19" spans="2:11">
      <c r="B19" t="s">
        <v>235</v>
      </c>
      <c r="D19" s="247"/>
      <c r="E19" s="31"/>
      <c r="F19" s="31"/>
      <c r="G19" s="248">
        <v>2.98</v>
      </c>
    </row>
    <row r="20" spans="2:11">
      <c r="B20" t="s">
        <v>233</v>
      </c>
      <c r="C20" t="s">
        <v>236</v>
      </c>
      <c r="D20" s="247"/>
      <c r="E20" s="31"/>
      <c r="F20" s="31"/>
      <c r="G20" s="249">
        <f>G18/G19*G13</f>
        <v>12932.304081957807</v>
      </c>
      <c r="H20" s="6">
        <f>(G20-G21)/G21</f>
        <v>0.3555874299746129</v>
      </c>
    </row>
    <row r="21" spans="2:11">
      <c r="B21" t="s">
        <v>234</v>
      </c>
      <c r="C21" t="s">
        <v>236</v>
      </c>
      <c r="D21" s="250"/>
      <c r="E21" s="74"/>
      <c r="F21" s="74"/>
      <c r="G21" s="251">
        <f>G18*Fjernvarme!G6</f>
        <v>9540</v>
      </c>
    </row>
    <row r="22" spans="2:11">
      <c r="J22" s="312"/>
      <c r="K22" s="312"/>
    </row>
    <row r="25" spans="2:11">
      <c r="B25" s="31"/>
      <c r="C25" s="31"/>
      <c r="D25" s="31"/>
      <c r="E25" s="31"/>
      <c r="F25" s="31"/>
      <c r="G25" s="31"/>
      <c r="H25" s="73"/>
      <c r="I25" s="31"/>
      <c r="J25" s="31"/>
      <c r="K25" s="31"/>
    </row>
    <row r="26" spans="2:11">
      <c r="B26" s="336"/>
      <c r="C26" s="336"/>
      <c r="D26" s="336"/>
      <c r="E26" s="336"/>
      <c r="F26" s="336"/>
      <c r="G26" s="336"/>
      <c r="H26" s="336"/>
      <c r="I26" s="336"/>
      <c r="J26" s="336"/>
      <c r="K26" s="31"/>
    </row>
    <row r="27" spans="2:11">
      <c r="B27" s="337"/>
      <c r="C27" s="338"/>
      <c r="D27" s="338"/>
      <c r="E27" s="338"/>
      <c r="F27" s="338"/>
      <c r="G27" s="338"/>
      <c r="H27" s="338"/>
      <c r="I27" s="338"/>
      <c r="J27" s="338"/>
      <c r="K27" s="31"/>
    </row>
    <row r="28" spans="2:11">
      <c r="B28" s="337"/>
      <c r="C28" s="338"/>
      <c r="D28" s="338"/>
      <c r="E28" s="338"/>
      <c r="F28" s="338"/>
      <c r="G28" s="338"/>
      <c r="H28" s="338"/>
      <c r="I28" s="338"/>
      <c r="J28" s="338"/>
      <c r="K28" s="31"/>
    </row>
    <row r="29" spans="2:11"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2:11"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2:11"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2:11"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2:11"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H18"/>
  <sheetViews>
    <sheetView topLeftCell="A28" workbookViewId="0">
      <selection activeCell="M5" sqref="M5"/>
    </sheetView>
  </sheetViews>
  <sheetFormatPr defaultRowHeight="15"/>
  <cols>
    <col min="1" max="1" width="37" customWidth="1"/>
    <col min="2" max="2" width="12.7109375" customWidth="1"/>
    <col min="3" max="3" width="12.5703125" customWidth="1"/>
    <col min="4" max="5" width="12.7109375" customWidth="1"/>
    <col min="6" max="6" width="15.140625" customWidth="1"/>
    <col min="7" max="7" width="18.42578125" customWidth="1"/>
  </cols>
  <sheetData>
    <row r="1" spans="1:8">
      <c r="A1" t="s">
        <v>131</v>
      </c>
    </row>
    <row r="2" spans="1:8">
      <c r="A2" t="s">
        <v>264</v>
      </c>
    </row>
    <row r="3" spans="1:8" ht="15.75" thickBot="1">
      <c r="D3" s="210" t="s">
        <v>205</v>
      </c>
    </row>
    <row r="4" spans="1:8" ht="15.75" thickBot="1">
      <c r="A4" s="203" t="s">
        <v>194</v>
      </c>
      <c r="B4" s="203">
        <v>2011</v>
      </c>
      <c r="C4" s="203">
        <v>2012</v>
      </c>
      <c r="D4" s="203">
        <v>2013</v>
      </c>
      <c r="E4" s="203">
        <v>2014</v>
      </c>
      <c r="F4" s="203">
        <v>2015</v>
      </c>
      <c r="G4" s="204">
        <v>2016</v>
      </c>
    </row>
    <row r="5" spans="1:8" ht="129.6" customHeight="1">
      <c r="A5" s="506" t="s">
        <v>195</v>
      </c>
      <c r="B5" s="504">
        <v>17338</v>
      </c>
      <c r="C5" s="504">
        <v>24804</v>
      </c>
      <c r="D5" s="504">
        <v>26265</v>
      </c>
      <c r="E5" s="504">
        <v>20124</v>
      </c>
      <c r="F5" s="504">
        <v>29717</v>
      </c>
      <c r="G5" s="502">
        <v>30589</v>
      </c>
      <c r="H5" s="340"/>
    </row>
    <row r="6" spans="1:8" ht="15.75" thickBot="1">
      <c r="A6" s="507"/>
      <c r="B6" s="505"/>
      <c r="C6" s="505"/>
      <c r="D6" s="505"/>
      <c r="E6" s="505"/>
      <c r="F6" s="505"/>
      <c r="G6" s="503"/>
      <c r="H6" s="340"/>
    </row>
    <row r="7" spans="1:8" ht="21.75" thickBot="1">
      <c r="A7" s="206" t="s">
        <v>196</v>
      </c>
      <c r="B7" s="206">
        <v>100</v>
      </c>
      <c r="C7" s="206">
        <v>100</v>
      </c>
      <c r="D7" s="313">
        <v>100</v>
      </c>
      <c r="E7" s="352">
        <v>100</v>
      </c>
      <c r="F7" s="359">
        <v>100</v>
      </c>
      <c r="G7" s="211">
        <v>100</v>
      </c>
      <c r="H7" s="340"/>
    </row>
    <row r="8" spans="1:8" ht="21">
      <c r="A8" s="205" t="s">
        <v>197</v>
      </c>
      <c r="B8" s="504">
        <v>666000</v>
      </c>
      <c r="C8" s="504">
        <v>785000</v>
      </c>
      <c r="D8" s="504">
        <v>693000</v>
      </c>
      <c r="E8" s="504">
        <v>554000</v>
      </c>
      <c r="F8" s="504">
        <v>575000</v>
      </c>
      <c r="G8" s="502">
        <v>546000</v>
      </c>
      <c r="H8" s="340"/>
    </row>
    <row r="9" spans="1:8" ht="15.75" thickBot="1">
      <c r="A9" s="206" t="s">
        <v>198</v>
      </c>
      <c r="B9" s="505"/>
      <c r="C9" s="505"/>
      <c r="D9" s="505"/>
      <c r="E9" s="505"/>
      <c r="F9" s="505"/>
      <c r="G9" s="503"/>
      <c r="H9" s="340"/>
    </row>
    <row r="10" spans="1:8" ht="21.75" thickBot="1">
      <c r="A10" s="206" t="s">
        <v>199</v>
      </c>
      <c r="B10" s="206">
        <v>0</v>
      </c>
      <c r="C10" s="206">
        <v>0</v>
      </c>
      <c r="D10" s="313">
        <v>0</v>
      </c>
      <c r="E10" s="352">
        <v>0</v>
      </c>
      <c r="F10" s="359">
        <v>0</v>
      </c>
      <c r="G10" s="211">
        <v>0</v>
      </c>
      <c r="H10" s="340"/>
    </row>
    <row r="11" spans="1:8" ht="21.75" thickBot="1">
      <c r="A11" s="206" t="s">
        <v>200</v>
      </c>
      <c r="B11" s="206">
        <v>0</v>
      </c>
      <c r="C11" s="206">
        <v>0</v>
      </c>
      <c r="D11" s="313">
        <v>0</v>
      </c>
      <c r="E11" s="352">
        <v>0</v>
      </c>
      <c r="F11" s="359">
        <v>0</v>
      </c>
      <c r="G11" s="211">
        <v>0</v>
      </c>
      <c r="H11" s="340"/>
    </row>
    <row r="12" spans="1:8" ht="66.599999999999994" customHeight="1">
      <c r="A12" s="506" t="s">
        <v>201</v>
      </c>
      <c r="B12" s="504">
        <v>71030</v>
      </c>
      <c r="C12" s="504">
        <v>158000</v>
      </c>
      <c r="D12" s="504">
        <v>198000</v>
      </c>
      <c r="E12" s="504">
        <v>235000</v>
      </c>
      <c r="F12" s="504">
        <v>157000</v>
      </c>
      <c r="G12" s="502">
        <v>121000</v>
      </c>
      <c r="H12" s="340"/>
    </row>
    <row r="13" spans="1:8" ht="15.75" thickBot="1">
      <c r="A13" s="507"/>
      <c r="B13" s="505"/>
      <c r="C13" s="505"/>
      <c r="D13" s="505"/>
      <c r="E13" s="505"/>
      <c r="F13" s="505"/>
      <c r="G13" s="503"/>
      <c r="H13" s="340"/>
    </row>
    <row r="14" spans="1:8" ht="21.75" thickBot="1">
      <c r="A14" s="206" t="s">
        <v>202</v>
      </c>
      <c r="B14" s="206">
        <v>0</v>
      </c>
      <c r="C14" s="206">
        <v>0</v>
      </c>
      <c r="D14" s="313">
        <v>0</v>
      </c>
      <c r="E14" s="352">
        <v>0</v>
      </c>
      <c r="F14" s="359">
        <v>0</v>
      </c>
      <c r="G14" s="211">
        <v>0</v>
      </c>
      <c r="H14" s="340"/>
    </row>
    <row r="15" spans="1:8" ht="15.75" thickBot="1">
      <c r="A15" s="206" t="s">
        <v>203</v>
      </c>
      <c r="B15" s="207">
        <v>4027</v>
      </c>
      <c r="C15" s="207">
        <v>4196</v>
      </c>
      <c r="D15" s="207">
        <v>4056</v>
      </c>
      <c r="E15" s="207">
        <v>4048</v>
      </c>
      <c r="F15" s="207">
        <v>4432</v>
      </c>
      <c r="G15" s="386">
        <v>4714</v>
      </c>
      <c r="H15" s="340"/>
    </row>
    <row r="16" spans="1:8" ht="35.25" thickBot="1">
      <c r="A16" s="208" t="s">
        <v>204</v>
      </c>
      <c r="B16" s="209">
        <v>15355</v>
      </c>
      <c r="C16" s="209">
        <v>19137</v>
      </c>
      <c r="D16" s="209">
        <v>19193</v>
      </c>
      <c r="E16" s="209">
        <v>16588</v>
      </c>
      <c r="F16" s="209">
        <v>20200</v>
      </c>
      <c r="G16" s="315"/>
    </row>
    <row r="18" spans="3:6">
      <c r="C18">
        <v>14900</v>
      </c>
      <c r="D18">
        <v>19200</v>
      </c>
      <c r="E18" s="263">
        <v>17600</v>
      </c>
      <c r="F18">
        <v>18000</v>
      </c>
    </row>
  </sheetData>
  <mergeCells count="20">
    <mergeCell ref="E5:E6"/>
    <mergeCell ref="E8:E9"/>
    <mergeCell ref="E12:E13"/>
    <mergeCell ref="A12:A13"/>
    <mergeCell ref="B12:B13"/>
    <mergeCell ref="C12:C13"/>
    <mergeCell ref="D12:D13"/>
    <mergeCell ref="A5:A6"/>
    <mergeCell ref="B5:B6"/>
    <mergeCell ref="C5:C6"/>
    <mergeCell ref="D5:D6"/>
    <mergeCell ref="B8:B9"/>
    <mergeCell ref="C8:C9"/>
    <mergeCell ref="D8:D9"/>
    <mergeCell ref="G5:G6"/>
    <mergeCell ref="G8:G9"/>
    <mergeCell ref="G12:G13"/>
    <mergeCell ref="F5:F6"/>
    <mergeCell ref="F8:F9"/>
    <mergeCell ref="F12:F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0"/>
  <sheetViews>
    <sheetView topLeftCell="A7" workbookViewId="0">
      <selection activeCell="N20" sqref="N20"/>
    </sheetView>
  </sheetViews>
  <sheetFormatPr defaultRowHeight="15"/>
  <cols>
    <col min="1" max="1" width="19.42578125" bestFit="1" customWidth="1"/>
    <col min="5" max="5" width="11.5703125" bestFit="1" customWidth="1"/>
  </cols>
  <sheetData>
    <row r="1" spans="1:13" ht="15.75" thickBot="1"/>
    <row r="2" spans="1:13" ht="15.75" thickBot="1">
      <c r="A2" s="311">
        <v>2015</v>
      </c>
      <c r="G2" s="188"/>
    </row>
    <row r="3" spans="1:13">
      <c r="A3" t="s">
        <v>271</v>
      </c>
      <c r="C3">
        <v>1350</v>
      </c>
      <c r="E3" s="2" t="s">
        <v>248</v>
      </c>
      <c r="G3" s="188">
        <f>C3*0.19</f>
        <v>256.5</v>
      </c>
      <c r="H3" t="s">
        <v>252</v>
      </c>
    </row>
    <row r="4" spans="1:13">
      <c r="A4" t="s">
        <v>249</v>
      </c>
      <c r="C4">
        <v>20400</v>
      </c>
      <c r="E4" t="s">
        <v>273</v>
      </c>
      <c r="G4" s="188">
        <f>C4*0.12</f>
        <v>2448</v>
      </c>
      <c r="H4" t="s">
        <v>252</v>
      </c>
    </row>
    <row r="5" spans="1:13">
      <c r="C5">
        <v>2000</v>
      </c>
      <c r="E5" t="s">
        <v>250</v>
      </c>
      <c r="G5" s="188">
        <f>C5*0.16</f>
        <v>320</v>
      </c>
      <c r="H5" t="s">
        <v>252</v>
      </c>
    </row>
    <row r="6" spans="1:13" ht="15.75" thickBot="1">
      <c r="A6" t="s">
        <v>272</v>
      </c>
      <c r="C6">
        <v>7650</v>
      </c>
      <c r="E6" t="s">
        <v>251</v>
      </c>
      <c r="G6" s="188">
        <f>C6*0.15</f>
        <v>1147.5</v>
      </c>
      <c r="H6" t="s">
        <v>252</v>
      </c>
    </row>
    <row r="7" spans="1:13" ht="15.75" thickBot="1">
      <c r="G7" s="372">
        <f>SUM(G3:G6)</f>
        <v>4172</v>
      </c>
      <c r="H7" t="s">
        <v>252</v>
      </c>
    </row>
    <row r="8" spans="1:13">
      <c r="G8" s="188"/>
    </row>
    <row r="9" spans="1:13" ht="15.75" thickBot="1">
      <c r="G9" s="188"/>
    </row>
    <row r="10" spans="1:13" ht="15.75" thickBot="1">
      <c r="A10" s="311">
        <v>2016</v>
      </c>
      <c r="G10" s="188"/>
    </row>
    <row r="11" spans="1:13">
      <c r="G11" s="188"/>
    </row>
    <row r="12" spans="1:13">
      <c r="A12" t="s">
        <v>296</v>
      </c>
      <c r="C12">
        <v>700</v>
      </c>
      <c r="E12" s="2" t="s">
        <v>298</v>
      </c>
      <c r="G12">
        <f>C12*0.14</f>
        <v>98.000000000000014</v>
      </c>
      <c r="H12" t="s">
        <v>252</v>
      </c>
    </row>
    <row r="13" spans="1:13">
      <c r="A13" t="s">
        <v>297</v>
      </c>
      <c r="C13">
        <v>700</v>
      </c>
      <c r="E13" s="2" t="s">
        <v>298</v>
      </c>
      <c r="G13">
        <f t="shared" ref="G13" si="0">C13*0.14</f>
        <v>98.000000000000014</v>
      </c>
      <c r="H13" t="s">
        <v>252</v>
      </c>
      <c r="M13" s="465"/>
    </row>
    <row r="14" spans="1:13">
      <c r="A14" t="s">
        <v>299</v>
      </c>
      <c r="C14">
        <v>700</v>
      </c>
      <c r="E14" s="2" t="s">
        <v>298</v>
      </c>
      <c r="G14">
        <f>C14*0.14</f>
        <v>98.000000000000014</v>
      </c>
      <c r="H14" t="s">
        <v>252</v>
      </c>
    </row>
    <row r="15" spans="1:13">
      <c r="M15" s="465"/>
    </row>
    <row r="16" spans="1:13">
      <c r="A16" t="s">
        <v>300</v>
      </c>
      <c r="C16">
        <v>14250</v>
      </c>
      <c r="E16" s="2" t="s">
        <v>304</v>
      </c>
      <c r="G16">
        <f>C16*0.21</f>
        <v>2992.5</v>
      </c>
      <c r="H16" t="s">
        <v>252</v>
      </c>
    </row>
    <row r="17" spans="1:13">
      <c r="A17" t="s">
        <v>301</v>
      </c>
      <c r="C17">
        <v>750</v>
      </c>
      <c r="E17" s="2" t="s">
        <v>304</v>
      </c>
      <c r="G17">
        <f t="shared" ref="G17:G19" si="1">C17*0.21</f>
        <v>157.5</v>
      </c>
      <c r="H17" t="s">
        <v>252</v>
      </c>
      <c r="M17" s="465"/>
    </row>
    <row r="18" spans="1:13">
      <c r="A18" t="s">
        <v>302</v>
      </c>
      <c r="C18">
        <v>3750</v>
      </c>
      <c r="E18" s="2" t="s">
        <v>304</v>
      </c>
      <c r="G18">
        <f t="shared" si="1"/>
        <v>787.5</v>
      </c>
      <c r="H18" t="s">
        <v>252</v>
      </c>
    </row>
    <row r="19" spans="1:13">
      <c r="A19" t="s">
        <v>303</v>
      </c>
      <c r="C19">
        <v>15000</v>
      </c>
      <c r="E19" s="2" t="s">
        <v>304</v>
      </c>
      <c r="G19">
        <f t="shared" si="1"/>
        <v>3150</v>
      </c>
      <c r="H19" t="s">
        <v>252</v>
      </c>
    </row>
    <row r="20" spans="1:13" ht="15.75" thickBot="1"/>
    <row r="21" spans="1:13" ht="15.75" thickBot="1">
      <c r="G21" s="372">
        <f>SUM(G12:G20)</f>
        <v>7381.5</v>
      </c>
    </row>
    <row r="22" spans="1:13" ht="15.75" thickBot="1">
      <c r="A22" s="311">
        <v>2017</v>
      </c>
    </row>
    <row r="24" spans="1:13">
      <c r="A24" s="465" t="s">
        <v>320</v>
      </c>
      <c r="C24" s="465">
        <v>6090</v>
      </c>
      <c r="G24">
        <f>C24*0.14</f>
        <v>852.60000000000014</v>
      </c>
      <c r="H24" t="s">
        <v>252</v>
      </c>
    </row>
    <row r="25" spans="1:13">
      <c r="A25" s="465" t="s">
        <v>321</v>
      </c>
      <c r="C25" s="465">
        <v>3600</v>
      </c>
      <c r="G25">
        <f>C25*0.13</f>
        <v>468</v>
      </c>
      <c r="H25" t="s">
        <v>252</v>
      </c>
    </row>
    <row r="26" spans="1:13" ht="15.75" thickBot="1"/>
    <row r="27" spans="1:13" ht="15.75" thickBot="1">
      <c r="G27" s="372">
        <f>G24+G25</f>
        <v>1320.6000000000001</v>
      </c>
    </row>
    <row r="35" spans="3:8">
      <c r="C35">
        <v>6.4</v>
      </c>
      <c r="D35">
        <v>37</v>
      </c>
      <c r="F35">
        <f>D35/C35</f>
        <v>5.78125</v>
      </c>
      <c r="H35">
        <f>C35*F35</f>
        <v>37</v>
      </c>
    </row>
    <row r="36" spans="3:8">
      <c r="C36">
        <v>7.6</v>
      </c>
      <c r="D36">
        <v>44</v>
      </c>
      <c r="F36">
        <f t="shared" ref="F36:F37" si="2">D36/C36</f>
        <v>5.7894736842105265</v>
      </c>
      <c r="H36">
        <f t="shared" ref="H36:H40" si="3">C36*F36</f>
        <v>44</v>
      </c>
    </row>
    <row r="37" spans="3:8">
      <c r="C37">
        <v>4.3</v>
      </c>
      <c r="D37">
        <v>25</v>
      </c>
      <c r="F37">
        <f t="shared" si="2"/>
        <v>5.8139534883720936</v>
      </c>
      <c r="H37">
        <f t="shared" si="3"/>
        <v>25</v>
      </c>
    </row>
    <row r="38" spans="3:8">
      <c r="C38">
        <v>4.2</v>
      </c>
      <c r="D38">
        <v>24</v>
      </c>
      <c r="F38">
        <f>D38/C38</f>
        <v>5.7142857142857144</v>
      </c>
      <c r="H38">
        <f t="shared" si="3"/>
        <v>24</v>
      </c>
    </row>
    <row r="39" spans="3:8">
      <c r="C39">
        <v>7.4</v>
      </c>
      <c r="D39">
        <v>42</v>
      </c>
      <c r="F39">
        <f>D39/C39</f>
        <v>5.6756756756756754</v>
      </c>
      <c r="H39">
        <f t="shared" si="3"/>
        <v>42</v>
      </c>
    </row>
    <row r="40" spans="3:8">
      <c r="C40">
        <v>1.3</v>
      </c>
      <c r="D40">
        <f>C40*F39</f>
        <v>7.3783783783783781</v>
      </c>
      <c r="E40" s="340">
        <v>7</v>
      </c>
      <c r="H40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F7:H20"/>
  <sheetViews>
    <sheetView workbookViewId="0">
      <selection activeCell="G11" sqref="G11"/>
    </sheetView>
  </sheetViews>
  <sheetFormatPr defaultRowHeight="15"/>
  <cols>
    <col min="3" max="3" width="20.140625" bestFit="1" customWidth="1"/>
    <col min="4" max="4" width="7.85546875" bestFit="1" customWidth="1"/>
    <col min="5" max="5" width="17.7109375" customWidth="1"/>
    <col min="6" max="6" width="15" bestFit="1" customWidth="1"/>
    <col min="7" max="7" width="15" customWidth="1"/>
    <col min="8" max="8" width="10.42578125" bestFit="1" customWidth="1"/>
    <col min="9" max="9" width="15.85546875" bestFit="1" customWidth="1"/>
  </cols>
  <sheetData>
    <row r="7" spans="6:8">
      <c r="F7" s="1"/>
      <c r="G7" s="1"/>
      <c r="H7" s="2"/>
    </row>
    <row r="8" spans="6:8">
      <c r="F8" s="1"/>
      <c r="G8" s="1"/>
      <c r="H8" s="2"/>
    </row>
    <row r="18" spans="6:6">
      <c r="F18" s="1"/>
    </row>
    <row r="20" spans="6:6">
      <c r="F20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15" sqref="L15"/>
    </sheetView>
  </sheetViews>
  <sheetFormatPr defaultRowHeight="15"/>
  <sheetData>
    <row r="1" spans="1:1">
      <c r="A1" t="s">
        <v>142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9"/>
  <sheetViews>
    <sheetView workbookViewId="0">
      <selection activeCell="E6" sqref="E6"/>
    </sheetView>
  </sheetViews>
  <sheetFormatPr defaultRowHeight="15"/>
  <cols>
    <col min="1" max="1" width="52.140625" customWidth="1"/>
  </cols>
  <sheetData>
    <row r="2" spans="1:7">
      <c r="B2" s="248"/>
      <c r="C2">
        <v>2016</v>
      </c>
      <c r="D2" s="248"/>
      <c r="E2">
        <v>2017</v>
      </c>
    </row>
    <row r="3" spans="1:7">
      <c r="B3" s="248"/>
      <c r="D3" s="248"/>
    </row>
    <row r="4" spans="1:7">
      <c r="A4" s="353" t="s">
        <v>274</v>
      </c>
      <c r="B4" s="248"/>
      <c r="C4" s="3">
        <v>3389</v>
      </c>
      <c r="D4" s="248" t="s">
        <v>275</v>
      </c>
      <c r="E4" s="3">
        <v>1152</v>
      </c>
      <c r="F4" t="s">
        <v>275</v>
      </c>
      <c r="G4" s="340"/>
    </row>
    <row r="5" spans="1:7">
      <c r="A5" s="354" t="s">
        <v>276</v>
      </c>
      <c r="B5" s="433"/>
      <c r="C5" s="126">
        <v>5360</v>
      </c>
      <c r="D5" s="433" t="s">
        <v>275</v>
      </c>
      <c r="E5" s="126">
        <v>5511</v>
      </c>
      <c r="F5" s="74" t="s">
        <v>275</v>
      </c>
      <c r="G5" s="340"/>
    </row>
    <row r="6" spans="1:7">
      <c r="B6" s="248"/>
      <c r="C6" s="3">
        <f>C4+C5</f>
        <v>8749</v>
      </c>
      <c r="D6" s="248" t="s">
        <v>275</v>
      </c>
      <c r="E6" s="3">
        <f>E4+E5</f>
        <v>6663</v>
      </c>
      <c r="F6" t="s">
        <v>275</v>
      </c>
    </row>
    <row r="7" spans="1:7">
      <c r="B7" s="248"/>
      <c r="D7" s="248"/>
    </row>
    <row r="8" spans="1:7">
      <c r="A8" t="s">
        <v>277</v>
      </c>
      <c r="B8" s="248"/>
      <c r="C8">
        <v>0.44</v>
      </c>
      <c r="D8" s="248"/>
      <c r="E8">
        <v>0.44</v>
      </c>
    </row>
    <row r="9" spans="1:7" ht="15.75" thickBot="1">
      <c r="B9" s="248"/>
      <c r="D9" s="248"/>
    </row>
    <row r="10" spans="1:7" ht="15.75" thickBot="1">
      <c r="B10" s="248"/>
      <c r="C10" s="432">
        <f>C6*C8</f>
        <v>3849.56</v>
      </c>
      <c r="D10" s="248"/>
      <c r="E10" s="432">
        <f>E6*E8</f>
        <v>2931.72</v>
      </c>
    </row>
    <row r="11" spans="1:7">
      <c r="E11" s="188"/>
    </row>
    <row r="12" spans="1:7">
      <c r="E12" s="188"/>
    </row>
    <row r="13" spans="1:7">
      <c r="E13" s="188"/>
    </row>
    <row r="17" spans="3:5">
      <c r="C17" s="397"/>
      <c r="E17" s="397"/>
    </row>
    <row r="18" spans="3:5">
      <c r="C18" s="397"/>
      <c r="D18" s="397"/>
      <c r="E18" s="397"/>
    </row>
    <row r="19" spans="3:5">
      <c r="C19" s="397"/>
      <c r="E19" s="39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14"/>
  <sheetViews>
    <sheetView topLeftCell="A43" workbookViewId="0">
      <selection activeCell="P74" sqref="P74"/>
    </sheetView>
  </sheetViews>
  <sheetFormatPr defaultRowHeight="15"/>
  <cols>
    <col min="1" max="1" width="28.7109375" customWidth="1"/>
    <col min="2" max="2" width="10.28515625" customWidth="1"/>
    <col min="3" max="3" width="9.28515625" bestFit="1" customWidth="1"/>
    <col min="4" max="4" width="16.140625" customWidth="1"/>
    <col min="5" max="5" width="11" customWidth="1"/>
    <col min="6" max="6" width="11" bestFit="1" customWidth="1"/>
    <col min="8" max="8" width="14.7109375" bestFit="1" customWidth="1"/>
    <col min="9" max="9" width="9.140625" customWidth="1"/>
    <col min="11" max="11" width="11" bestFit="1" customWidth="1"/>
    <col min="13" max="13" width="14" bestFit="1" customWidth="1"/>
    <col min="14" max="14" width="14.7109375" bestFit="1" customWidth="1"/>
    <col min="17" max="17" width="12.7109375" bestFit="1" customWidth="1"/>
  </cols>
  <sheetData>
    <row r="1" spans="1:17">
      <c r="A1" t="s">
        <v>206</v>
      </c>
    </row>
    <row r="2" spans="1:17" ht="15.75" thickBot="1"/>
    <row r="3" spans="1:17" ht="15.75" thickBot="1">
      <c r="A3" s="254" t="s">
        <v>51</v>
      </c>
      <c r="B3" s="255" t="s">
        <v>238</v>
      </c>
      <c r="C3" s="255"/>
      <c r="E3" s="256" t="s">
        <v>239</v>
      </c>
      <c r="G3" s="256">
        <v>2013</v>
      </c>
      <c r="H3" s="256" t="s">
        <v>240</v>
      </c>
      <c r="J3" s="257" t="s">
        <v>241</v>
      </c>
      <c r="K3" t="s">
        <v>242</v>
      </c>
      <c r="M3" s="256" t="s">
        <v>253</v>
      </c>
      <c r="N3" s="256" t="s">
        <v>240</v>
      </c>
      <c r="P3" s="257" t="s">
        <v>254</v>
      </c>
      <c r="Q3" t="s">
        <v>242</v>
      </c>
    </row>
    <row r="4" spans="1:17" ht="15.75" thickBot="1">
      <c r="A4" s="258" t="s">
        <v>20</v>
      </c>
      <c r="B4" s="259">
        <v>745</v>
      </c>
      <c r="C4" s="259" t="s">
        <v>207</v>
      </c>
      <c r="E4" s="213">
        <f>B4*1000*B19</f>
        <v>0</v>
      </c>
      <c r="G4" s="260">
        <v>653</v>
      </c>
      <c r="H4" s="212" t="s">
        <v>240</v>
      </c>
      <c r="I4" s="261"/>
      <c r="J4" s="262">
        <f>G4*$B$21</f>
        <v>66.164344655945598</v>
      </c>
      <c r="K4" s="263">
        <v>66200</v>
      </c>
      <c r="M4" s="260">
        <v>748</v>
      </c>
      <c r="N4" s="212" t="s">
        <v>240</v>
      </c>
      <c r="O4" s="261"/>
      <c r="P4" s="262">
        <f>M4*$B$22</f>
        <v>76.693024295392973</v>
      </c>
      <c r="Q4" s="263">
        <f>ROUND(P4*1000,-2)</f>
        <v>76700</v>
      </c>
    </row>
    <row r="5" spans="1:17" ht="15.75" thickBot="1">
      <c r="A5" s="258" t="s">
        <v>134</v>
      </c>
      <c r="B5" s="259">
        <v>2307</v>
      </c>
      <c r="C5" s="259" t="s">
        <v>207</v>
      </c>
      <c r="E5" s="213">
        <f>B5*1000*B19</f>
        <v>0</v>
      </c>
      <c r="G5" s="260">
        <v>2062</v>
      </c>
      <c r="H5" s="212" t="s">
        <v>240</v>
      </c>
      <c r="I5" s="261"/>
      <c r="J5" s="262">
        <f t="shared" ref="J5:J16" si="0">G5*$B$21</f>
        <v>208.92937010805485</v>
      </c>
      <c r="K5" s="263">
        <v>209000</v>
      </c>
      <c r="M5" s="260">
        <v>2089</v>
      </c>
      <c r="N5" s="212" t="s">
        <v>240</v>
      </c>
      <c r="O5" s="261"/>
      <c r="P5" s="262">
        <f t="shared" ref="P5:P17" si="1">M5*$B$22</f>
        <v>214.18680180892503</v>
      </c>
      <c r="Q5" s="263">
        <f t="shared" ref="Q5:Q17" si="2">ROUND(P5*1000,-2)</f>
        <v>214200</v>
      </c>
    </row>
    <row r="6" spans="1:17" ht="15.75" thickBot="1">
      <c r="A6" s="258" t="s">
        <v>208</v>
      </c>
      <c r="B6" s="259">
        <v>252</v>
      </c>
      <c r="C6" s="259" t="s">
        <v>207</v>
      </c>
      <c r="E6" s="264">
        <f>B6*1000*B19</f>
        <v>0</v>
      </c>
      <c r="G6" s="260">
        <v>249</v>
      </c>
      <c r="H6" s="212" t="s">
        <v>240</v>
      </c>
      <c r="I6" s="261"/>
      <c r="J6" s="262">
        <f t="shared" si="0"/>
        <v>25.229589309847555</v>
      </c>
      <c r="K6" s="263">
        <v>25200</v>
      </c>
      <c r="M6" s="260">
        <v>265</v>
      </c>
      <c r="N6" s="212" t="s">
        <v>240</v>
      </c>
      <c r="O6" s="261"/>
      <c r="P6" s="262">
        <f t="shared" si="1"/>
        <v>27.170657003046973</v>
      </c>
      <c r="Q6" s="263">
        <f t="shared" si="2"/>
        <v>27200</v>
      </c>
    </row>
    <row r="7" spans="1:17" ht="15.75" thickBot="1">
      <c r="A7" s="258" t="s">
        <v>2</v>
      </c>
      <c r="B7" s="259">
        <v>3350</v>
      </c>
      <c r="C7" s="259" t="s">
        <v>207</v>
      </c>
      <c r="E7" s="264">
        <f>B7*1000*B19</f>
        <v>0</v>
      </c>
      <c r="G7" s="260">
        <v>3214</v>
      </c>
      <c r="H7" s="212" t="s">
        <v>240</v>
      </c>
      <c r="I7" s="261"/>
      <c r="J7" s="262">
        <f t="shared" si="0"/>
        <v>325.65421703554233</v>
      </c>
      <c r="K7" s="263">
        <v>326000</v>
      </c>
      <c r="M7" s="260">
        <v>3110</v>
      </c>
      <c r="N7" s="212" t="s">
        <v>240</v>
      </c>
      <c r="O7" s="261"/>
      <c r="P7" s="262">
        <f t="shared" si="1"/>
        <v>318.87072935651355</v>
      </c>
      <c r="Q7" s="263">
        <f t="shared" si="2"/>
        <v>318900</v>
      </c>
    </row>
    <row r="8" spans="1:17" ht="15.75" thickBot="1">
      <c r="A8" s="258" t="s">
        <v>209</v>
      </c>
      <c r="B8" s="259">
        <v>1842</v>
      </c>
      <c r="C8" s="259" t="s">
        <v>207</v>
      </c>
      <c r="E8" s="264">
        <f>B8*1000*B19</f>
        <v>0</v>
      </c>
      <c r="G8" s="260">
        <v>1718</v>
      </c>
      <c r="H8" s="212" t="s">
        <v>240</v>
      </c>
      <c r="I8" s="261"/>
      <c r="J8" s="262">
        <f t="shared" si="0"/>
        <v>174.07403387276347</v>
      </c>
      <c r="K8" s="263">
        <v>174000</v>
      </c>
      <c r="M8" s="260">
        <v>1685</v>
      </c>
      <c r="N8" s="212" t="s">
        <v>240</v>
      </c>
      <c r="O8" s="261"/>
      <c r="P8" s="262">
        <f t="shared" si="1"/>
        <v>172.76436622692134</v>
      </c>
      <c r="Q8" s="263">
        <f t="shared" si="2"/>
        <v>172800</v>
      </c>
    </row>
    <row r="9" spans="1:17" ht="15.75" thickBot="1">
      <c r="A9" s="258" t="s">
        <v>123</v>
      </c>
      <c r="B9" s="259">
        <v>1011</v>
      </c>
      <c r="C9" s="259" t="s">
        <v>207</v>
      </c>
      <c r="E9" s="264">
        <f>B9*1000*B19</f>
        <v>0</v>
      </c>
      <c r="G9" s="260">
        <v>1021</v>
      </c>
      <c r="H9" s="212" t="s">
        <v>240</v>
      </c>
      <c r="I9" s="261"/>
      <c r="J9" s="262">
        <f t="shared" si="0"/>
        <v>103.45144853555965</v>
      </c>
      <c r="K9" s="263">
        <v>103000</v>
      </c>
      <c r="M9" s="260">
        <v>1025</v>
      </c>
      <c r="N9" s="212" t="s">
        <v>240</v>
      </c>
      <c r="O9" s="261"/>
      <c r="P9" s="262">
        <f t="shared" si="1"/>
        <v>105.09405067216282</v>
      </c>
      <c r="Q9" s="263">
        <f t="shared" si="2"/>
        <v>105100</v>
      </c>
    </row>
    <row r="10" spans="1:17" ht="15.75" thickBot="1">
      <c r="A10" s="258" t="s">
        <v>210</v>
      </c>
      <c r="B10" s="259">
        <v>234</v>
      </c>
      <c r="C10" s="259" t="s">
        <v>207</v>
      </c>
      <c r="E10" s="264">
        <f>B10*1000*B19</f>
        <v>0</v>
      </c>
      <c r="G10" s="260">
        <v>234</v>
      </c>
      <c r="H10" s="212" t="s">
        <v>240</v>
      </c>
      <c r="I10" s="261"/>
      <c r="J10" s="262">
        <f t="shared" si="0"/>
        <v>23.709734532145895</v>
      </c>
      <c r="K10" s="263">
        <v>23700</v>
      </c>
      <c r="M10" s="260">
        <v>234</v>
      </c>
      <c r="N10" s="212" t="s">
        <v>240</v>
      </c>
      <c r="O10" s="261"/>
      <c r="P10" s="262">
        <f t="shared" si="1"/>
        <v>23.992202787596195</v>
      </c>
      <c r="Q10" s="263">
        <f t="shared" si="2"/>
        <v>24000</v>
      </c>
    </row>
    <row r="11" spans="1:17" ht="15.75" thickBot="1">
      <c r="A11" s="258" t="s">
        <v>127</v>
      </c>
      <c r="B11" s="259">
        <v>151</v>
      </c>
      <c r="C11" s="259" t="s">
        <v>207</v>
      </c>
      <c r="E11" s="264">
        <f>B11*1000*B19</f>
        <v>0</v>
      </c>
      <c r="G11" s="260">
        <v>144</v>
      </c>
      <c r="H11" s="212" t="s">
        <v>240</v>
      </c>
      <c r="I11" s="261"/>
      <c r="J11" s="262">
        <f t="shared" si="0"/>
        <v>14.590605865935935</v>
      </c>
      <c r="K11" s="263">
        <v>14600</v>
      </c>
      <c r="M11" s="260">
        <v>190</v>
      </c>
      <c r="N11" s="212" t="s">
        <v>240</v>
      </c>
      <c r="O11" s="261"/>
      <c r="P11" s="262">
        <f t="shared" si="1"/>
        <v>19.480848417278963</v>
      </c>
      <c r="Q11" s="263">
        <f t="shared" si="2"/>
        <v>19500</v>
      </c>
    </row>
    <row r="12" spans="1:17" ht="15.75" thickBot="1">
      <c r="A12" s="258" t="s">
        <v>211</v>
      </c>
      <c r="B12" s="259">
        <v>146</v>
      </c>
      <c r="C12" s="259" t="s">
        <v>207</v>
      </c>
      <c r="E12" s="264">
        <f>B12*1000*B19</f>
        <v>0</v>
      </c>
      <c r="G12" s="260">
        <v>133</v>
      </c>
      <c r="H12" s="212" t="s">
        <v>240</v>
      </c>
      <c r="I12" s="261"/>
      <c r="J12" s="262">
        <f t="shared" si="0"/>
        <v>13.476045695621385</v>
      </c>
      <c r="K12" s="263">
        <v>13500</v>
      </c>
      <c r="M12" s="260">
        <v>140</v>
      </c>
      <c r="N12" s="212" t="s">
        <v>240</v>
      </c>
      <c r="O12" s="261"/>
      <c r="P12" s="262">
        <f t="shared" si="1"/>
        <v>14.354309360100288</v>
      </c>
      <c r="Q12" s="263">
        <f t="shared" si="2"/>
        <v>14400</v>
      </c>
    </row>
    <row r="13" spans="1:17" ht="15.75" thickBot="1">
      <c r="A13" s="258" t="s">
        <v>212</v>
      </c>
      <c r="B13" s="259">
        <v>352</v>
      </c>
      <c r="C13" s="259" t="s">
        <v>207</v>
      </c>
      <c r="E13" s="264">
        <f>B13*1000*B19</f>
        <v>0</v>
      </c>
      <c r="G13" s="260">
        <v>289</v>
      </c>
      <c r="H13" s="212" t="s">
        <v>240</v>
      </c>
      <c r="I13" s="261"/>
      <c r="J13" s="262">
        <f t="shared" si="0"/>
        <v>29.282535383718649</v>
      </c>
      <c r="K13" s="263">
        <v>29300</v>
      </c>
      <c r="M13" s="260">
        <v>393</v>
      </c>
      <c r="N13" s="212" t="s">
        <v>240</v>
      </c>
      <c r="O13" s="261"/>
      <c r="P13" s="262">
        <f t="shared" si="1"/>
        <v>40.294596989424377</v>
      </c>
      <c r="Q13" s="263">
        <f t="shared" si="2"/>
        <v>40300</v>
      </c>
    </row>
    <row r="14" spans="1:17" ht="15.75" thickBot="1">
      <c r="A14" s="258" t="s">
        <v>213</v>
      </c>
      <c r="B14" s="259">
        <v>1332</v>
      </c>
      <c r="C14" s="259" t="s">
        <v>207</v>
      </c>
      <c r="E14" s="264">
        <f>B14*1000*B19</f>
        <v>0</v>
      </c>
      <c r="G14" s="260">
        <v>1360</v>
      </c>
      <c r="H14" s="212" t="s">
        <v>240</v>
      </c>
      <c r="I14" s="261"/>
      <c r="J14" s="262">
        <f t="shared" si="0"/>
        <v>137.80016651161716</v>
      </c>
      <c r="K14" s="263">
        <v>138000</v>
      </c>
      <c r="M14" s="260">
        <v>1143</v>
      </c>
      <c r="N14" s="212" t="s">
        <v>240</v>
      </c>
      <c r="O14" s="261"/>
      <c r="P14" s="262">
        <f>M14*$B$22</f>
        <v>117.19268284710449</v>
      </c>
      <c r="Q14" s="263">
        <f t="shared" si="2"/>
        <v>117200</v>
      </c>
    </row>
    <row r="15" spans="1:17" ht="15.75" thickBot="1">
      <c r="A15" s="258" t="s">
        <v>122</v>
      </c>
      <c r="B15" s="259">
        <v>577</v>
      </c>
      <c r="C15" s="259" t="s">
        <v>207</v>
      </c>
      <c r="E15" s="264">
        <f>B15*1000*B19</f>
        <v>0</v>
      </c>
      <c r="G15" s="260">
        <v>479</v>
      </c>
      <c r="H15" s="212" t="s">
        <v>240</v>
      </c>
      <c r="I15" s="261"/>
      <c r="J15" s="262">
        <f t="shared" si="0"/>
        <v>48.534029234606344</v>
      </c>
      <c r="K15" s="263">
        <v>48500</v>
      </c>
      <c r="M15" s="260">
        <v>511</v>
      </c>
      <c r="N15" s="212" t="s">
        <v>240</v>
      </c>
      <c r="O15" s="261"/>
      <c r="P15" s="262">
        <f t="shared" si="1"/>
        <v>52.393229164366055</v>
      </c>
      <c r="Q15" s="263">
        <f t="shared" si="2"/>
        <v>52400</v>
      </c>
    </row>
    <row r="16" spans="1:17" ht="15.75" thickBot="1">
      <c r="A16" s="258" t="s">
        <v>214</v>
      </c>
      <c r="B16" s="259">
        <v>699</v>
      </c>
      <c r="C16" s="259" t="s">
        <v>215</v>
      </c>
      <c r="E16" s="213">
        <f>B16*1000*B19</f>
        <v>0</v>
      </c>
      <c r="G16" s="265">
        <v>698</v>
      </c>
      <c r="H16" s="266" t="s">
        <v>243</v>
      </c>
      <c r="I16" s="31"/>
      <c r="J16" s="262">
        <f t="shared" si="0"/>
        <v>70.723908989050571</v>
      </c>
      <c r="K16" s="263">
        <v>70700</v>
      </c>
      <c r="M16" s="265">
        <v>844</v>
      </c>
      <c r="N16" s="266" t="s">
        <v>243</v>
      </c>
      <c r="O16" s="31"/>
      <c r="P16" s="262">
        <f t="shared" si="1"/>
        <v>86.535979285176026</v>
      </c>
      <c r="Q16" s="263">
        <f t="shared" si="2"/>
        <v>86500</v>
      </c>
    </row>
    <row r="17" spans="1:17" ht="15.75" thickBot="1">
      <c r="A17" s="258" t="s">
        <v>131</v>
      </c>
      <c r="B17" s="259">
        <v>156</v>
      </c>
      <c r="C17" s="259" t="s">
        <v>215</v>
      </c>
      <c r="E17" s="213">
        <f>B17*1000*B19</f>
        <v>0</v>
      </c>
      <c r="G17" s="265">
        <v>147</v>
      </c>
      <c r="H17" s="266" t="s">
        <v>243</v>
      </c>
      <c r="I17" s="31"/>
      <c r="J17" s="262">
        <f>G17*$B$21</f>
        <v>14.894576821476267</v>
      </c>
      <c r="K17" s="263">
        <v>14900</v>
      </c>
      <c r="M17" s="265">
        <v>187</v>
      </c>
      <c r="N17" s="266" t="s">
        <v>243</v>
      </c>
      <c r="O17" s="31"/>
      <c r="P17" s="262">
        <f t="shared" si="1"/>
        <v>19.173256073848243</v>
      </c>
      <c r="Q17" s="263">
        <f t="shared" si="2"/>
        <v>19200</v>
      </c>
    </row>
    <row r="20" spans="1:17">
      <c r="A20" s="267" t="s">
        <v>244</v>
      </c>
      <c r="B20" s="268">
        <f>559440/5602628</f>
        <v>9.9853140347708258E-2</v>
      </c>
    </row>
    <row r="21" spans="1:17">
      <c r="A21" s="267" t="s">
        <v>245</v>
      </c>
      <c r="B21" s="268">
        <f>D21/E21</f>
        <v>0.10132365184677733</v>
      </c>
      <c r="D21" s="3">
        <v>570172</v>
      </c>
      <c r="E21" s="3">
        <v>5627235</v>
      </c>
      <c r="G21">
        <f>D21/E21*G11*1000</f>
        <v>14590.605865935935</v>
      </c>
    </row>
    <row r="22" spans="1:17">
      <c r="A22" s="267" t="s">
        <v>255</v>
      </c>
      <c r="B22" s="268">
        <f>D22/E22</f>
        <v>0.10253078114357349</v>
      </c>
      <c r="D22" s="3">
        <v>580295</v>
      </c>
      <c r="E22" s="3">
        <v>5659715</v>
      </c>
      <c r="G22">
        <f>D22/E22*M11*1000</f>
        <v>19480.848417278965</v>
      </c>
      <c r="M22" s="6"/>
    </row>
    <row r="23" spans="1:17">
      <c r="A23" s="267" t="s">
        <v>268</v>
      </c>
      <c r="B23" s="268">
        <f>D23/E23</f>
        <v>0.10363675962385394</v>
      </c>
      <c r="D23" s="3">
        <f>Forudsætninger!I3</f>
        <v>591481</v>
      </c>
      <c r="E23" s="3">
        <f>Forudsætninger!I4</f>
        <v>5707251</v>
      </c>
    </row>
    <row r="24" spans="1:17">
      <c r="A24" s="267" t="s">
        <v>295</v>
      </c>
      <c r="B24" s="268">
        <f>D24/E24</f>
        <v>0.10480174103360215</v>
      </c>
      <c r="D24" s="3">
        <f>Forudsætninger!J3</f>
        <v>602481</v>
      </c>
      <c r="E24" s="3">
        <f>Forudsætninger!J4</f>
        <v>5748769</v>
      </c>
    </row>
    <row r="25" spans="1:17">
      <c r="A25" s="267" t="s">
        <v>318</v>
      </c>
      <c r="B25" s="268">
        <f>D25/E25</f>
        <v>0.10608334962179067</v>
      </c>
      <c r="D25" s="3">
        <f>Forudsætninger!K3</f>
        <v>613288</v>
      </c>
      <c r="E25" s="3">
        <f>Forudsætninger!K4</f>
        <v>5781190</v>
      </c>
    </row>
    <row r="26" spans="1:17" ht="15.75" thickBot="1">
      <c r="D26" s="171"/>
      <c r="E26" s="171"/>
    </row>
    <row r="27" spans="1:17" ht="36.75" customHeight="1" thickBot="1">
      <c r="A27" s="254" t="s">
        <v>51</v>
      </c>
      <c r="B27" s="508" t="s">
        <v>267</v>
      </c>
      <c r="C27" s="509"/>
      <c r="E27" s="257" t="s">
        <v>270</v>
      </c>
      <c r="F27" t="s">
        <v>242</v>
      </c>
    </row>
    <row r="28" spans="1:17" ht="15.75" thickBot="1">
      <c r="A28" s="258" t="s">
        <v>20</v>
      </c>
      <c r="B28" s="347">
        <v>569</v>
      </c>
      <c r="C28" s="259" t="s">
        <v>207</v>
      </c>
      <c r="E28" s="262">
        <f>B28*$B$23</f>
        <v>58.969316225972889</v>
      </c>
      <c r="F28" s="270">
        <f>ROUND(E28*1000,-2)</f>
        <v>59000</v>
      </c>
      <c r="G28" s="188"/>
    </row>
    <row r="29" spans="1:17" ht="15.75" thickBot="1">
      <c r="A29" s="258" t="s">
        <v>134</v>
      </c>
      <c r="B29" s="347">
        <v>1410</v>
      </c>
      <c r="C29" s="259" t="s">
        <v>207</v>
      </c>
      <c r="E29" s="262">
        <f>B29*$B$23</f>
        <v>146.12783106963406</v>
      </c>
      <c r="F29" s="270">
        <f t="shared" ref="F29:F41" si="3">ROUND(E29*1000,-2)</f>
        <v>146100</v>
      </c>
      <c r="G29" s="188"/>
    </row>
    <row r="30" spans="1:17" ht="15.75" thickBot="1">
      <c r="A30" s="258" t="s">
        <v>208</v>
      </c>
      <c r="B30" s="347">
        <v>208</v>
      </c>
      <c r="C30" s="259" t="s">
        <v>207</v>
      </c>
      <c r="E30" s="262">
        <f>B30*$B$23</f>
        <v>21.556446001761618</v>
      </c>
      <c r="F30" s="270">
        <f t="shared" si="3"/>
        <v>21600</v>
      </c>
      <c r="G30" s="188"/>
    </row>
    <row r="31" spans="1:17" ht="15.75" thickBot="1">
      <c r="A31" s="258" t="s">
        <v>2</v>
      </c>
      <c r="B31" s="347">
        <v>3156</v>
      </c>
      <c r="C31" s="259" t="s">
        <v>207</v>
      </c>
      <c r="E31" s="262">
        <f t="shared" ref="E31:E41" si="4">B31*$B$23</f>
        <v>327.07761337288304</v>
      </c>
      <c r="F31" s="270">
        <f t="shared" si="3"/>
        <v>327100</v>
      </c>
      <c r="G31" s="188"/>
      <c r="Q31" s="263"/>
    </row>
    <row r="32" spans="1:17" ht="15.75" thickBot="1">
      <c r="A32" s="258" t="s">
        <v>209</v>
      </c>
      <c r="B32" s="347">
        <v>1650</v>
      </c>
      <c r="C32" s="259" t="s">
        <v>207</v>
      </c>
      <c r="E32" s="262">
        <f t="shared" si="4"/>
        <v>171.00065337935899</v>
      </c>
      <c r="F32" s="270">
        <f t="shared" si="3"/>
        <v>171000</v>
      </c>
      <c r="G32" s="188"/>
    </row>
    <row r="33" spans="1:15" ht="15.75" thickBot="1">
      <c r="A33" s="258" t="s">
        <v>123</v>
      </c>
      <c r="B33" s="347">
        <v>1021</v>
      </c>
      <c r="C33" s="259" t="s">
        <v>207</v>
      </c>
      <c r="E33" s="262">
        <f t="shared" si="4"/>
        <v>105.81313157595487</v>
      </c>
      <c r="F33" s="270">
        <f t="shared" si="3"/>
        <v>105800</v>
      </c>
      <c r="G33" s="188">
        <v>72300</v>
      </c>
    </row>
    <row r="34" spans="1:15" ht="15.75" thickBot="1">
      <c r="A34" s="258" t="s">
        <v>210</v>
      </c>
      <c r="B34" s="347">
        <v>233</v>
      </c>
      <c r="C34" s="259" t="s">
        <v>207</v>
      </c>
      <c r="E34" s="262">
        <f t="shared" si="4"/>
        <v>24.147364992357968</v>
      </c>
      <c r="F34" s="270">
        <f t="shared" si="3"/>
        <v>24100</v>
      </c>
      <c r="G34" s="188">
        <v>3356</v>
      </c>
    </row>
    <row r="35" spans="1:15" ht="15.75" thickBot="1">
      <c r="A35" s="258" t="s">
        <v>127</v>
      </c>
      <c r="B35" s="347">
        <v>185</v>
      </c>
      <c r="C35" s="259" t="s">
        <v>207</v>
      </c>
      <c r="E35" s="262">
        <f t="shared" si="4"/>
        <v>19.172800530412978</v>
      </c>
      <c r="F35" s="270">
        <f t="shared" si="3"/>
        <v>19200</v>
      </c>
      <c r="G35" s="188"/>
    </row>
    <row r="36" spans="1:15" ht="15.75" thickBot="1">
      <c r="A36" s="258" t="s">
        <v>211</v>
      </c>
      <c r="B36" s="347">
        <v>137</v>
      </c>
      <c r="C36" s="259" t="s">
        <v>207</v>
      </c>
      <c r="E36" s="262">
        <f>B36*$B$23</f>
        <v>14.19823606846799</v>
      </c>
      <c r="F36" s="270">
        <f t="shared" si="3"/>
        <v>14200</v>
      </c>
      <c r="G36" s="188"/>
    </row>
    <row r="37" spans="1:15" ht="15.75" thickBot="1">
      <c r="A37" s="258" t="s">
        <v>212</v>
      </c>
      <c r="B37" s="347">
        <v>365</v>
      </c>
      <c r="C37" s="259" t="s">
        <v>207</v>
      </c>
      <c r="E37" s="262">
        <f t="shared" si="4"/>
        <v>37.827417262706689</v>
      </c>
      <c r="F37" s="270">
        <f t="shared" si="3"/>
        <v>37800</v>
      </c>
      <c r="G37" s="188"/>
    </row>
    <row r="38" spans="1:15" ht="15.75" thickBot="1">
      <c r="A38" s="258" t="s">
        <v>213</v>
      </c>
      <c r="B38" s="347">
        <v>1183</v>
      </c>
      <c r="C38" s="259" t="s">
        <v>207</v>
      </c>
      <c r="E38" s="262">
        <f t="shared" si="4"/>
        <v>122.60228663501921</v>
      </c>
      <c r="F38" s="270">
        <f t="shared" si="3"/>
        <v>122600</v>
      </c>
      <c r="G38" s="188"/>
    </row>
    <row r="39" spans="1:15" ht="15.75" thickBot="1">
      <c r="A39" s="258" t="s">
        <v>122</v>
      </c>
      <c r="B39" s="347">
        <v>426</v>
      </c>
      <c r="C39" s="259" t="s">
        <v>207</v>
      </c>
      <c r="E39" s="262">
        <f t="shared" si="4"/>
        <v>44.149259599761777</v>
      </c>
      <c r="F39" s="270">
        <f t="shared" si="3"/>
        <v>44100</v>
      </c>
      <c r="G39" s="188"/>
    </row>
    <row r="40" spans="1:15" ht="15.75" thickBot="1">
      <c r="A40" s="258" t="s">
        <v>214</v>
      </c>
      <c r="B40" s="347">
        <v>826</v>
      </c>
      <c r="C40" s="259" t="s">
        <v>215</v>
      </c>
      <c r="E40" s="262">
        <f t="shared" si="4"/>
        <v>85.60396344930335</v>
      </c>
      <c r="F40" s="270">
        <f t="shared" si="3"/>
        <v>85600</v>
      </c>
      <c r="G40" s="188"/>
    </row>
    <row r="41" spans="1:15" ht="15.75" thickBot="1">
      <c r="A41" s="258" t="s">
        <v>131</v>
      </c>
      <c r="B41" s="347">
        <v>170</v>
      </c>
      <c r="C41" s="259" t="s">
        <v>215</v>
      </c>
      <c r="E41" s="262">
        <f t="shared" si="4"/>
        <v>17.618249136055169</v>
      </c>
      <c r="F41" s="270">
        <f t="shared" si="3"/>
        <v>17600</v>
      </c>
      <c r="G41" s="188"/>
    </row>
    <row r="42" spans="1:15">
      <c r="E42" s="268"/>
      <c r="F42" s="345"/>
      <c r="G42" s="188"/>
    </row>
    <row r="43" spans="1:15" ht="15.75" thickBot="1">
      <c r="F43" s="188"/>
      <c r="G43" s="188"/>
    </row>
    <row r="44" spans="1:15" ht="15.75" thickBot="1">
      <c r="A44" s="254" t="s">
        <v>51</v>
      </c>
      <c r="B44" s="508" t="s">
        <v>292</v>
      </c>
      <c r="C44" s="509"/>
      <c r="E44" s="257" t="s">
        <v>293</v>
      </c>
      <c r="F44" s="188" t="s">
        <v>242</v>
      </c>
      <c r="G44" s="188"/>
      <c r="J44" s="31"/>
      <c r="K44" s="31"/>
      <c r="L44" s="31"/>
      <c r="M44" s="31"/>
      <c r="N44" s="31"/>
      <c r="O44" s="31"/>
    </row>
    <row r="45" spans="1:15" ht="15.75" thickBot="1">
      <c r="A45" s="258" t="s">
        <v>20</v>
      </c>
      <c r="B45" s="347">
        <v>632</v>
      </c>
      <c r="C45" s="259" t="s">
        <v>207</v>
      </c>
      <c r="E45" s="262">
        <f>B45*$B$24</f>
        <v>66.23470033323656</v>
      </c>
      <c r="F45" s="270">
        <f>ROUND(E45*1000,-2)</f>
        <v>66200</v>
      </c>
      <c r="G45" s="188"/>
      <c r="J45" s="393"/>
      <c r="K45" s="393"/>
      <c r="L45" s="393"/>
      <c r="M45" s="393"/>
      <c r="N45" s="393"/>
      <c r="O45" s="394"/>
    </row>
    <row r="46" spans="1:15" ht="15.75" thickBot="1">
      <c r="A46" s="258" t="s">
        <v>134</v>
      </c>
      <c r="B46" s="347">
        <v>1934</v>
      </c>
      <c r="C46" s="259" t="s">
        <v>207</v>
      </c>
      <c r="E46" s="262">
        <f t="shared" ref="E46:E58" si="5">B46*$B$24</f>
        <v>202.68656715898658</v>
      </c>
      <c r="F46" s="270">
        <f t="shared" ref="F46:F58" si="6">ROUND(E46*1000,-2)</f>
        <v>202700</v>
      </c>
      <c r="G46" s="188"/>
      <c r="J46" s="31"/>
      <c r="K46" s="31"/>
      <c r="L46" s="31"/>
      <c r="M46" s="31"/>
      <c r="N46" s="31"/>
      <c r="O46" s="31"/>
    </row>
    <row r="47" spans="1:15" ht="15.75" thickBot="1">
      <c r="A47" s="258" t="s">
        <v>208</v>
      </c>
      <c r="B47" s="347">
        <v>159</v>
      </c>
      <c r="C47" s="259" t="s">
        <v>207</v>
      </c>
      <c r="E47" s="262">
        <f t="shared" si="5"/>
        <v>16.663476824342741</v>
      </c>
      <c r="F47" s="270">
        <f t="shared" si="6"/>
        <v>16700</v>
      </c>
      <c r="G47" s="188"/>
      <c r="J47" s="31"/>
      <c r="K47" s="31"/>
      <c r="L47" s="31"/>
      <c r="M47" s="31"/>
      <c r="N47" s="31"/>
      <c r="O47" s="31"/>
    </row>
    <row r="48" spans="1:15" ht="15.75" thickBot="1">
      <c r="A48" s="258" t="s">
        <v>2</v>
      </c>
      <c r="B48" s="347">
        <v>3113</v>
      </c>
      <c r="C48" s="259" t="s">
        <v>207</v>
      </c>
      <c r="E48" s="262">
        <f t="shared" si="5"/>
        <v>326.24781983760352</v>
      </c>
      <c r="F48" s="270">
        <f t="shared" si="6"/>
        <v>326200</v>
      </c>
      <c r="G48" s="188"/>
      <c r="J48" s="31"/>
      <c r="K48" s="31"/>
      <c r="L48" s="31"/>
      <c r="M48" s="31"/>
      <c r="N48" s="31"/>
      <c r="O48" s="31"/>
    </row>
    <row r="49" spans="1:17" ht="15.75" thickBot="1">
      <c r="A49" s="258" t="s">
        <v>209</v>
      </c>
      <c r="B49" s="347">
        <v>1649</v>
      </c>
      <c r="C49" s="259" t="s">
        <v>207</v>
      </c>
      <c r="E49" s="262">
        <f t="shared" si="5"/>
        <v>172.81807096440994</v>
      </c>
      <c r="F49" s="270">
        <f t="shared" si="6"/>
        <v>172800</v>
      </c>
      <c r="G49" s="188"/>
      <c r="J49" s="31"/>
      <c r="K49" t="s">
        <v>131</v>
      </c>
    </row>
    <row r="50" spans="1:17" ht="15.75" thickBot="1">
      <c r="A50" s="258" t="s">
        <v>123</v>
      </c>
      <c r="B50" s="347">
        <v>718</v>
      </c>
      <c r="C50" s="259" t="s">
        <v>207</v>
      </c>
      <c r="E50" s="262">
        <f t="shared" si="5"/>
        <v>75.24765006212634</v>
      </c>
      <c r="F50" s="270">
        <f t="shared" si="6"/>
        <v>75200</v>
      </c>
      <c r="G50" s="340">
        <v>70900</v>
      </c>
      <c r="J50" s="31"/>
    </row>
    <row r="51" spans="1:17" ht="15.75" thickBot="1">
      <c r="A51" s="258" t="s">
        <v>210</v>
      </c>
      <c r="B51" s="347">
        <v>233</v>
      </c>
      <c r="C51" s="259" t="s">
        <v>207</v>
      </c>
      <c r="E51" s="262">
        <f t="shared" si="5"/>
        <v>24.418805660829303</v>
      </c>
      <c r="F51" s="270">
        <f t="shared" si="6"/>
        <v>24400</v>
      </c>
      <c r="G51" s="340">
        <v>3403</v>
      </c>
      <c r="J51" s="31"/>
      <c r="K51">
        <v>2012</v>
      </c>
      <c r="L51">
        <v>2013</v>
      </c>
      <c r="M51">
        <v>2014</v>
      </c>
      <c r="N51">
        <v>2015</v>
      </c>
      <c r="O51">
        <v>2016</v>
      </c>
    </row>
    <row r="52" spans="1:17" ht="15.75" thickBot="1">
      <c r="A52" s="258" t="s">
        <v>127</v>
      </c>
      <c r="B52" s="347">
        <v>172</v>
      </c>
      <c r="C52" s="259" t="s">
        <v>207</v>
      </c>
      <c r="E52" s="262">
        <f>B52*$B$24</f>
        <v>18.02589945777957</v>
      </c>
      <c r="F52" s="387">
        <f>ROUND(E52*1000,-2)</f>
        <v>18000</v>
      </c>
      <c r="G52" s="188"/>
      <c r="J52" s="31"/>
      <c r="K52" s="3">
        <v>15600</v>
      </c>
      <c r="L52">
        <v>14900</v>
      </c>
      <c r="M52">
        <v>19200</v>
      </c>
      <c r="N52">
        <v>17600</v>
      </c>
      <c r="O52">
        <v>18000</v>
      </c>
      <c r="Q52" s="397">
        <f>(O52-K52)*100/K52</f>
        <v>15.384615384615385</v>
      </c>
    </row>
    <row r="53" spans="1:17" ht="15.75" thickBot="1">
      <c r="A53" s="258" t="s">
        <v>211</v>
      </c>
      <c r="B53" s="347">
        <v>128</v>
      </c>
      <c r="C53" s="259" t="s">
        <v>207</v>
      </c>
      <c r="E53" s="262">
        <f t="shared" si="5"/>
        <v>13.414622852301076</v>
      </c>
      <c r="F53" s="387">
        <f t="shared" si="6"/>
        <v>13400</v>
      </c>
      <c r="G53" s="188"/>
      <c r="J53" s="31"/>
      <c r="K53" s="31"/>
      <c r="L53" s="31"/>
      <c r="M53" s="31"/>
      <c r="N53" s="31"/>
      <c r="O53" s="31"/>
    </row>
    <row r="54" spans="1:17" ht="15.75" thickBot="1">
      <c r="A54" s="258" t="s">
        <v>212</v>
      </c>
      <c r="B54" s="347">
        <v>374</v>
      </c>
      <c r="C54" s="259" t="s">
        <v>207</v>
      </c>
      <c r="E54" s="262">
        <f t="shared" si="5"/>
        <v>39.195851146567207</v>
      </c>
      <c r="F54" s="387">
        <f t="shared" si="6"/>
        <v>39200</v>
      </c>
      <c r="G54" s="188"/>
      <c r="J54" s="31"/>
      <c r="K54" s="31"/>
      <c r="L54" s="31"/>
      <c r="M54" s="31"/>
      <c r="N54" s="31"/>
      <c r="O54" s="31"/>
    </row>
    <row r="55" spans="1:17" ht="15.75" thickBot="1">
      <c r="A55" s="258" t="s">
        <v>213</v>
      </c>
      <c r="B55" s="347">
        <v>1096</v>
      </c>
      <c r="C55" s="259" t="s">
        <v>207</v>
      </c>
      <c r="E55" s="262">
        <f>B55*$B$24</f>
        <v>114.86270817282796</v>
      </c>
      <c r="F55" s="270">
        <f t="shared" si="6"/>
        <v>114900</v>
      </c>
      <c r="G55" s="188"/>
    </row>
    <row r="56" spans="1:17" ht="15.75" thickBot="1">
      <c r="A56" s="258" t="s">
        <v>122</v>
      </c>
      <c r="B56" s="347">
        <v>534</v>
      </c>
      <c r="C56" s="259" t="s">
        <v>207</v>
      </c>
      <c r="E56" s="262">
        <f t="shared" si="5"/>
        <v>55.964129711943549</v>
      </c>
      <c r="F56" s="270">
        <f t="shared" si="6"/>
        <v>56000</v>
      </c>
      <c r="G56" s="188"/>
    </row>
    <row r="57" spans="1:17" ht="15.75" thickBot="1">
      <c r="A57" s="258" t="s">
        <v>214</v>
      </c>
      <c r="B57" s="347">
        <v>655</v>
      </c>
      <c r="C57" s="259" t="s">
        <v>215</v>
      </c>
      <c r="E57" s="262">
        <f t="shared" si="5"/>
        <v>68.645140377009412</v>
      </c>
      <c r="F57" s="270">
        <f t="shared" si="6"/>
        <v>68600</v>
      </c>
      <c r="G57" s="188"/>
    </row>
    <row r="58" spans="1:17" ht="15.75" thickBot="1">
      <c r="A58" s="258" t="s">
        <v>131</v>
      </c>
      <c r="B58" s="347">
        <v>172</v>
      </c>
      <c r="C58" s="259" t="s">
        <v>215</v>
      </c>
      <c r="E58" s="262">
        <f t="shared" si="5"/>
        <v>18.02589945777957</v>
      </c>
      <c r="F58" s="387">
        <f t="shared" si="6"/>
        <v>18000</v>
      </c>
      <c r="G58" s="188"/>
    </row>
    <row r="59" spans="1:17">
      <c r="F59" s="188"/>
      <c r="G59" s="188"/>
    </row>
    <row r="60" spans="1:17">
      <c r="F60" s="188"/>
      <c r="G60" s="188"/>
    </row>
    <row r="61" spans="1:17">
      <c r="F61" s="188"/>
      <c r="G61" s="188"/>
    </row>
    <row r="62" spans="1:17" ht="15.75" thickBot="1">
      <c r="F62" s="188"/>
      <c r="G62" s="188"/>
    </row>
    <row r="63" spans="1:17" ht="15.75" thickBot="1">
      <c r="A63" s="254" t="s">
        <v>51</v>
      </c>
      <c r="B63" s="508" t="s">
        <v>316</v>
      </c>
      <c r="C63" s="509"/>
      <c r="E63" s="257" t="s">
        <v>317</v>
      </c>
      <c r="F63" s="188" t="s">
        <v>242</v>
      </c>
      <c r="G63" s="188"/>
    </row>
    <row r="64" spans="1:17" ht="15.75" thickBot="1">
      <c r="A64" s="438" t="s">
        <v>20</v>
      </c>
      <c r="B64" s="439">
        <v>651</v>
      </c>
      <c r="C64" s="440" t="s">
        <v>207</v>
      </c>
      <c r="E64" s="262">
        <f>B64*$B$25</f>
        <v>69.060260603785721</v>
      </c>
      <c r="F64" s="270">
        <f>ROUND(E64*1000,-2)</f>
        <v>69100</v>
      </c>
      <c r="G64" s="188"/>
    </row>
    <row r="65" spans="1:13" ht="15.75" thickBot="1">
      <c r="A65" s="438" t="s">
        <v>134</v>
      </c>
      <c r="B65" s="439">
        <v>2121</v>
      </c>
      <c r="C65" s="440" t="s">
        <v>207</v>
      </c>
      <c r="E65" s="262">
        <f t="shared" ref="E65:E77" si="7">B65*$B$25</f>
        <v>225.00278454781801</v>
      </c>
      <c r="F65" s="270">
        <f t="shared" ref="F65:F70" si="8">ROUND(E65*1000,-2)</f>
        <v>225000</v>
      </c>
      <c r="G65" s="188"/>
      <c r="K65">
        <f>113106+135435+139471+132634</f>
        <v>520646</v>
      </c>
      <c r="L65">
        <f>1317046+1253301+1479553+1223092</f>
        <v>5272992</v>
      </c>
      <c r="M65">
        <f>B50*K65/L65</f>
        <v>70.894063180827885</v>
      </c>
    </row>
    <row r="66" spans="1:13" ht="15.75" thickBot="1">
      <c r="A66" s="438" t="s">
        <v>208</v>
      </c>
      <c r="B66" s="439">
        <v>170</v>
      </c>
      <c r="C66" s="440" t="s">
        <v>207</v>
      </c>
      <c r="E66" s="262">
        <f t="shared" si="7"/>
        <v>18.034169435704413</v>
      </c>
      <c r="F66" s="270">
        <f t="shared" si="8"/>
        <v>18000</v>
      </c>
      <c r="G66" s="188"/>
      <c r="K66">
        <f>154088+201300+128544+195917</f>
        <v>679849</v>
      </c>
      <c r="L66">
        <f>1448794+1387810+1480976+1545728</f>
        <v>5863308</v>
      </c>
      <c r="M66">
        <f>B69*1000*K66/L66</f>
        <v>78266.070109228443</v>
      </c>
    </row>
    <row r="67" spans="1:13" ht="15.75" thickBot="1">
      <c r="A67" s="438" t="s">
        <v>2</v>
      </c>
      <c r="B67" s="439">
        <v>3209</v>
      </c>
      <c r="C67" s="440" t="s">
        <v>207</v>
      </c>
      <c r="E67" s="262">
        <f t="shared" si="7"/>
        <v>340.42146893632628</v>
      </c>
      <c r="F67" s="270">
        <f t="shared" si="8"/>
        <v>340400</v>
      </c>
      <c r="G67" s="188"/>
    </row>
    <row r="68" spans="1:13" ht="15.75" thickBot="1">
      <c r="A68" s="438" t="s">
        <v>209</v>
      </c>
      <c r="B68" s="439">
        <v>1664</v>
      </c>
      <c r="C68" s="440" t="s">
        <v>207</v>
      </c>
      <c r="E68" s="262">
        <f t="shared" si="7"/>
        <v>176.52269377065966</v>
      </c>
      <c r="F68" s="270">
        <f t="shared" si="8"/>
        <v>176500</v>
      </c>
      <c r="G68" s="188"/>
    </row>
    <row r="69" spans="1:13" ht="15.75" thickBot="1">
      <c r="A69" s="438" t="s">
        <v>123</v>
      </c>
      <c r="B69" s="439">
        <v>675</v>
      </c>
      <c r="C69" s="440" t="s">
        <v>207</v>
      </c>
      <c r="E69" s="262">
        <f t="shared" si="7"/>
        <v>71.606260994708705</v>
      </c>
      <c r="F69" s="270">
        <f t="shared" si="8"/>
        <v>71600</v>
      </c>
      <c r="G69" s="340">
        <v>78300</v>
      </c>
      <c r="H69" t="s">
        <v>265</v>
      </c>
    </row>
    <row r="70" spans="1:13" ht="15.75" thickBot="1">
      <c r="A70" s="438" t="s">
        <v>210</v>
      </c>
      <c r="B70" s="439">
        <v>107</v>
      </c>
      <c r="C70" s="440" t="s">
        <v>207</v>
      </c>
      <c r="E70" s="262">
        <f t="shared" si="7"/>
        <v>11.350918409531602</v>
      </c>
      <c r="F70" s="270">
        <f t="shared" si="8"/>
        <v>11400</v>
      </c>
      <c r="G70" s="340">
        <v>1581</v>
      </c>
      <c r="H70" t="s">
        <v>265</v>
      </c>
      <c r="K70">
        <f>14601+8456</f>
        <v>23057</v>
      </c>
      <c r="L70">
        <f>1163656+396618</f>
        <v>1560274</v>
      </c>
      <c r="M70">
        <f>B70*1000*K70/L70</f>
        <v>1581.1959950624057</v>
      </c>
    </row>
    <row r="71" spans="1:13" ht="15.75" thickBot="1">
      <c r="A71" s="438" t="s">
        <v>127</v>
      </c>
      <c r="B71" s="439">
        <v>164</v>
      </c>
      <c r="C71" s="440" t="s">
        <v>207</v>
      </c>
      <c r="E71" s="262">
        <f t="shared" si="7"/>
        <v>17.397669337973671</v>
      </c>
      <c r="F71" s="387">
        <f>ROUND(E71*1000,-2)</f>
        <v>17400</v>
      </c>
      <c r="G71" s="188"/>
      <c r="H71" t="s">
        <v>265</v>
      </c>
    </row>
    <row r="72" spans="1:13" ht="15.75" thickBot="1">
      <c r="A72" s="438" t="s">
        <v>211</v>
      </c>
      <c r="B72" s="439">
        <v>133</v>
      </c>
      <c r="C72" s="440" t="s">
        <v>207</v>
      </c>
      <c r="E72" s="262">
        <f t="shared" si="7"/>
        <v>14.109085499698159</v>
      </c>
      <c r="F72" s="387">
        <f t="shared" ref="F72:F77" si="9">ROUND(E72*1000,-2)</f>
        <v>14100</v>
      </c>
      <c r="G72" s="188"/>
      <c r="H72" t="s">
        <v>265</v>
      </c>
    </row>
    <row r="73" spans="1:13" ht="15.75" thickBot="1">
      <c r="A73" s="438" t="s">
        <v>212</v>
      </c>
      <c r="B73" s="439">
        <v>647</v>
      </c>
      <c r="C73" s="440" t="s">
        <v>207</v>
      </c>
      <c r="E73" s="262">
        <f t="shared" si="7"/>
        <v>68.635927205298557</v>
      </c>
      <c r="F73" s="387">
        <f t="shared" si="9"/>
        <v>68600</v>
      </c>
      <c r="G73" s="188"/>
      <c r="H73" t="s">
        <v>265</v>
      </c>
    </row>
    <row r="74" spans="1:13" ht="15.75" thickBot="1">
      <c r="A74" s="438" t="s">
        <v>213</v>
      </c>
      <c r="B74" s="439">
        <v>1068</v>
      </c>
      <c r="C74" s="440" t="s">
        <v>207</v>
      </c>
      <c r="E74" s="262">
        <f t="shared" si="7"/>
        <v>113.29701739607243</v>
      </c>
      <c r="F74" s="270">
        <f t="shared" si="9"/>
        <v>113300</v>
      </c>
      <c r="G74" s="188"/>
    </row>
    <row r="75" spans="1:13" ht="15.75" thickBot="1">
      <c r="A75" s="438" t="s">
        <v>122</v>
      </c>
      <c r="B75" s="439">
        <v>647</v>
      </c>
      <c r="C75" s="440" t="s">
        <v>207</v>
      </c>
      <c r="E75" s="262">
        <f t="shared" si="7"/>
        <v>68.635927205298557</v>
      </c>
      <c r="F75" s="270">
        <f t="shared" si="9"/>
        <v>68600</v>
      </c>
      <c r="G75" s="188"/>
    </row>
    <row r="76" spans="1:13" ht="15.75" thickBot="1">
      <c r="A76" s="438" t="s">
        <v>214</v>
      </c>
      <c r="B76" s="439">
        <v>618</v>
      </c>
      <c r="C76" s="440" t="s">
        <v>215</v>
      </c>
      <c r="E76" s="262">
        <f t="shared" si="7"/>
        <v>65.55951006626664</v>
      </c>
      <c r="F76" s="270">
        <f t="shared" si="9"/>
        <v>65600</v>
      </c>
      <c r="G76" s="188"/>
    </row>
    <row r="77" spans="1:13" ht="15.75" thickBot="1">
      <c r="A77" s="438" t="s">
        <v>131</v>
      </c>
      <c r="B77" s="439">
        <v>176</v>
      </c>
      <c r="C77" s="440" t="s">
        <v>215</v>
      </c>
      <c r="E77" s="262">
        <f t="shared" si="7"/>
        <v>18.670669533435159</v>
      </c>
      <c r="F77" s="387">
        <f t="shared" si="9"/>
        <v>18700</v>
      </c>
      <c r="G77" s="188"/>
      <c r="H77" t="s">
        <v>265</v>
      </c>
    </row>
    <row r="78" spans="1:13">
      <c r="F78" s="188"/>
      <c r="G78" s="188"/>
    </row>
    <row r="79" spans="1:13">
      <c r="F79" s="188"/>
      <c r="G79" s="188"/>
    </row>
    <row r="80" spans="1:13">
      <c r="F80" s="188"/>
      <c r="G80" s="188"/>
    </row>
    <row r="81" spans="6:7">
      <c r="F81" s="188"/>
      <c r="G81" s="188"/>
    </row>
    <row r="82" spans="6:7">
      <c r="F82" s="188"/>
      <c r="G82" s="188"/>
    </row>
    <row r="83" spans="6:7">
      <c r="F83" s="188"/>
      <c r="G83" s="188"/>
    </row>
    <row r="84" spans="6:7">
      <c r="F84" s="188"/>
      <c r="G84" s="188"/>
    </row>
    <row r="85" spans="6:7">
      <c r="F85" s="188"/>
      <c r="G85" s="188"/>
    </row>
    <row r="86" spans="6:7">
      <c r="F86" s="188"/>
      <c r="G86" s="188"/>
    </row>
    <row r="87" spans="6:7">
      <c r="F87" s="188"/>
      <c r="G87" s="188"/>
    </row>
    <row r="88" spans="6:7">
      <c r="F88" s="188"/>
      <c r="G88" s="188"/>
    </row>
    <row r="89" spans="6:7">
      <c r="F89" s="188"/>
      <c r="G89" s="188"/>
    </row>
    <row r="90" spans="6:7">
      <c r="F90" s="188"/>
      <c r="G90" s="188"/>
    </row>
    <row r="91" spans="6:7">
      <c r="F91" s="188"/>
      <c r="G91" s="188"/>
    </row>
    <row r="92" spans="6:7">
      <c r="F92" s="188"/>
      <c r="G92" s="188"/>
    </row>
    <row r="93" spans="6:7">
      <c r="F93" s="188"/>
      <c r="G93" s="188"/>
    </row>
    <row r="94" spans="6:7">
      <c r="F94" s="188"/>
      <c r="G94" s="188"/>
    </row>
    <row r="95" spans="6:7">
      <c r="F95" s="188"/>
      <c r="G95" s="188"/>
    </row>
    <row r="96" spans="6:7">
      <c r="F96" s="188"/>
      <c r="G96" s="188"/>
    </row>
    <row r="97" spans="6:7">
      <c r="F97" s="188"/>
      <c r="G97" s="188"/>
    </row>
    <row r="98" spans="6:7">
      <c r="F98" s="188"/>
      <c r="G98" s="188"/>
    </row>
    <row r="99" spans="6:7">
      <c r="F99" s="188"/>
      <c r="G99" s="188"/>
    </row>
    <row r="100" spans="6:7">
      <c r="F100" s="188"/>
      <c r="G100" s="188"/>
    </row>
    <row r="101" spans="6:7">
      <c r="F101" s="188"/>
      <c r="G101" s="188"/>
    </row>
    <row r="102" spans="6:7">
      <c r="F102" s="188"/>
      <c r="G102" s="188"/>
    </row>
    <row r="103" spans="6:7">
      <c r="F103" s="188"/>
      <c r="G103" s="188"/>
    </row>
    <row r="104" spans="6:7">
      <c r="F104" s="188"/>
      <c r="G104" s="188"/>
    </row>
    <row r="105" spans="6:7">
      <c r="F105" s="188"/>
      <c r="G105" s="188"/>
    </row>
    <row r="106" spans="6:7">
      <c r="F106" s="188"/>
      <c r="G106" s="188"/>
    </row>
    <row r="107" spans="6:7">
      <c r="F107" s="188"/>
      <c r="G107" s="188"/>
    </row>
    <row r="108" spans="6:7">
      <c r="F108" s="188"/>
      <c r="G108" s="188"/>
    </row>
    <row r="109" spans="6:7">
      <c r="F109" s="188"/>
      <c r="G109" s="188"/>
    </row>
    <row r="110" spans="6:7">
      <c r="F110" s="188"/>
      <c r="G110" s="188"/>
    </row>
    <row r="111" spans="6:7">
      <c r="F111" s="188"/>
      <c r="G111" s="188"/>
    </row>
    <row r="112" spans="6:7">
      <c r="F112" s="188"/>
      <c r="G112" s="188"/>
    </row>
    <row r="113" spans="6:7">
      <c r="F113" s="188"/>
      <c r="G113" s="188"/>
    </row>
    <row r="114" spans="6:7">
      <c r="F114" s="188"/>
      <c r="G114" s="188"/>
    </row>
  </sheetData>
  <mergeCells count="3">
    <mergeCell ref="B27:C27"/>
    <mergeCell ref="B44:C44"/>
    <mergeCell ref="B63:C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tabSelected="1" topLeftCell="D1" zoomScale="80" zoomScaleNormal="80" workbookViewId="0">
      <selection activeCell="Z18" sqref="Z18"/>
    </sheetView>
  </sheetViews>
  <sheetFormatPr defaultColWidth="9.140625" defaultRowHeight="15"/>
  <cols>
    <col min="1" max="1" width="9.140625" style="188"/>
    <col min="2" max="2" width="10.85546875" style="188" bestFit="1" customWidth="1"/>
    <col min="3" max="3" width="23" style="188" bestFit="1" customWidth="1"/>
    <col min="4" max="4" width="14.140625" style="188" bestFit="1" customWidth="1"/>
    <col min="5" max="5" width="19.28515625" style="188" bestFit="1" customWidth="1"/>
    <col min="6" max="11" width="9.140625" style="188"/>
    <col min="12" max="12" width="12.5703125" style="188" bestFit="1" customWidth="1"/>
    <col min="13" max="13" width="12.7109375" style="188" bestFit="1" customWidth="1"/>
    <col min="14" max="14" width="23.140625" style="188" bestFit="1" customWidth="1"/>
    <col min="15" max="15" width="10.85546875" style="188" customWidth="1"/>
    <col min="16" max="16" width="13.42578125" style="188" bestFit="1" customWidth="1"/>
    <col min="17" max="17" width="12.5703125" style="188" bestFit="1" customWidth="1"/>
    <col min="18" max="18" width="13.5703125" style="188" bestFit="1" customWidth="1"/>
    <col min="19" max="19" width="10.85546875" style="188" bestFit="1" customWidth="1"/>
    <col min="20" max="20" width="13" style="188" bestFit="1" customWidth="1"/>
    <col min="21" max="22" width="13" style="188" customWidth="1"/>
    <col min="23" max="23" width="9.85546875" style="188" bestFit="1" customWidth="1"/>
    <col min="24" max="24" width="11" style="188" bestFit="1" customWidth="1"/>
    <col min="25" max="27" width="9.28515625" style="188" bestFit="1" customWidth="1"/>
    <col min="28" max="16384" width="9.140625" style="188"/>
  </cols>
  <sheetData>
    <row r="1" spans="2:25" ht="15.75" thickBot="1"/>
    <row r="2" spans="2:25" ht="15.75" thickBot="1">
      <c r="B2" s="202" t="s">
        <v>74</v>
      </c>
      <c r="C2" s="409">
        <v>2017</v>
      </c>
    </row>
    <row r="4" spans="2:25" ht="15.75" thickBot="1">
      <c r="B4" s="188" t="s">
        <v>79</v>
      </c>
      <c r="N4" s="173"/>
      <c r="O4" s="189">
        <v>2010</v>
      </c>
      <c r="P4" s="189">
        <v>2011</v>
      </c>
      <c r="Q4" s="189">
        <v>2012</v>
      </c>
      <c r="R4" s="189">
        <v>2013</v>
      </c>
      <c r="S4" s="189">
        <v>2014</v>
      </c>
      <c r="T4" s="189">
        <v>2015</v>
      </c>
      <c r="U4" s="189">
        <v>2016</v>
      </c>
      <c r="V4" s="189">
        <v>2017</v>
      </c>
    </row>
    <row r="5" spans="2:25">
      <c r="B5" s="188" t="s">
        <v>146</v>
      </c>
      <c r="C5" s="160" t="str">
        <f>C63</f>
        <v>Elforbrug</v>
      </c>
      <c r="D5" s="467">
        <f>D63-AB78</f>
        <v>424996.0117294559</v>
      </c>
      <c r="E5" s="488">
        <f>D5/$D$10</f>
        <v>0.30866455829265954</v>
      </c>
      <c r="N5" s="175" t="s">
        <v>3</v>
      </c>
      <c r="O5" s="183"/>
      <c r="P5" s="176">
        <f t="shared" ref="P5:Q5" si="0">P63</f>
        <v>1049832.6537389411</v>
      </c>
      <c r="Q5" s="176">
        <f t="shared" si="0"/>
        <v>869627.05872803356</v>
      </c>
      <c r="R5" s="176">
        <f t="shared" ref="R5:T6" si="1">R63</f>
        <v>979544.315006561</v>
      </c>
      <c r="S5" s="176">
        <f t="shared" si="1"/>
        <v>806714.97799303837</v>
      </c>
      <c r="T5" s="176">
        <f t="shared" si="1"/>
        <v>572674.97710310598</v>
      </c>
      <c r="U5" s="176">
        <f t="shared" ref="U5:V5" si="2">U63</f>
        <v>715508.51940842625</v>
      </c>
      <c r="V5" s="473">
        <f t="shared" si="2"/>
        <v>534257.46338882193</v>
      </c>
      <c r="W5" s="6">
        <f>(V5-U5)/U5</f>
        <v>-0.25331781677381071</v>
      </c>
      <c r="X5" s="6"/>
      <c r="Y5" s="6"/>
    </row>
    <row r="6" spans="2:25">
      <c r="C6" s="161" t="s">
        <v>0</v>
      </c>
      <c r="D6" s="468">
        <f>D64</f>
        <v>337930.55799999996</v>
      </c>
      <c r="E6" s="488">
        <f t="shared" ref="E6:E10" si="3">D6/$D$10</f>
        <v>0.24543097709129058</v>
      </c>
      <c r="N6" s="178" t="s">
        <v>0</v>
      </c>
      <c r="O6" s="173"/>
      <c r="P6" s="179">
        <f t="shared" ref="P6:Q6" si="4">P64</f>
        <v>477679.99999999994</v>
      </c>
      <c r="Q6" s="179">
        <f t="shared" si="4"/>
        <v>486358</v>
      </c>
      <c r="R6" s="179">
        <f t="shared" si="1"/>
        <v>475198.10600000003</v>
      </c>
      <c r="S6" s="179">
        <f t="shared" si="1"/>
        <v>384200</v>
      </c>
      <c r="T6" s="179">
        <f t="shared" si="1"/>
        <v>409300.30000000005</v>
      </c>
      <c r="U6" s="179">
        <f t="shared" ref="U6:V6" si="5">U64</f>
        <v>410880.00000000006</v>
      </c>
      <c r="V6" s="474">
        <f t="shared" si="5"/>
        <v>337930.55799999996</v>
      </c>
      <c r="W6" s="6">
        <f t="shared" ref="W6:W60" si="6">(V6-U6)/U6</f>
        <v>-0.17754439739096595</v>
      </c>
      <c r="X6" s="6"/>
    </row>
    <row r="7" spans="2:25">
      <c r="C7" s="161" t="s">
        <v>76</v>
      </c>
      <c r="D7" s="468">
        <f>SUM(D69:D72)</f>
        <v>465329.61559306429</v>
      </c>
      <c r="E7" s="488">
        <f>D7/$D$10</f>
        <v>0.33795790147075255</v>
      </c>
      <c r="N7" s="178" t="s">
        <v>76</v>
      </c>
      <c r="O7" s="173"/>
      <c r="P7" s="179">
        <f t="shared" ref="P7:Q7" si="7">SUM(P69:P72)</f>
        <v>489037.1751589271</v>
      </c>
      <c r="Q7" s="179">
        <f t="shared" si="7"/>
        <v>451340.35176077369</v>
      </c>
      <c r="R7" s="179">
        <f>SUM(R69:R72)</f>
        <v>445382.82527785463</v>
      </c>
      <c r="S7" s="179">
        <f>SUM(S69:S72)</f>
        <v>449838.06445392</v>
      </c>
      <c r="T7" s="179">
        <f>SUM(T69:T72)</f>
        <v>438427.08448534174</v>
      </c>
      <c r="U7" s="179">
        <f>SUM(U69:U72)</f>
        <v>443226.3392721875</v>
      </c>
      <c r="V7" s="474">
        <f>SUM(V69:V72)</f>
        <v>465329.61559306429</v>
      </c>
      <c r="W7" s="6">
        <f t="shared" si="6"/>
        <v>4.9869049653439156E-2</v>
      </c>
      <c r="X7" s="6"/>
    </row>
    <row r="8" spans="2:25">
      <c r="C8" s="161" t="s">
        <v>77</v>
      </c>
      <c r="D8" s="468">
        <f>SUM(D65:D68)</f>
        <v>31451.512266283728</v>
      </c>
      <c r="E8" s="488">
        <f>D8/$D$10</f>
        <v>2.284248998432609E-2</v>
      </c>
      <c r="N8" s="178" t="s">
        <v>77</v>
      </c>
      <c r="O8" s="173"/>
      <c r="P8" s="179">
        <f t="shared" ref="P8:Q8" si="8">SUM(P65:P68)</f>
        <v>41752.152000000002</v>
      </c>
      <c r="Q8" s="179">
        <f t="shared" si="8"/>
        <v>42932.08</v>
      </c>
      <c r="R8" s="179">
        <f>SUM(R65:R68)</f>
        <v>49135.913783502532</v>
      </c>
      <c r="S8" s="179">
        <f>SUM(S65:S68)</f>
        <v>42235.410777314966</v>
      </c>
      <c r="T8" s="179">
        <f>SUM(T65:T68)</f>
        <v>35077.356594111232</v>
      </c>
      <c r="U8" s="179">
        <f>SUM(U65:U68)</f>
        <v>34134.906631721286</v>
      </c>
      <c r="V8" s="468">
        <f>SUM(V65:V68)</f>
        <v>31451.512266283728</v>
      </c>
      <c r="W8" s="6">
        <f t="shared" si="6"/>
        <v>-7.8611445884076384E-2</v>
      </c>
      <c r="X8" s="6"/>
    </row>
    <row r="9" spans="2:25" ht="15.75" thickBot="1">
      <c r="C9" s="164" t="s">
        <v>78</v>
      </c>
      <c r="D9" s="472">
        <f>SUM(D73:D82)</f>
        <v>117178.6352</v>
      </c>
      <c r="E9" s="488">
        <f>D9/$D$10</f>
        <v>8.5104073160971433E-2</v>
      </c>
      <c r="N9" s="181" t="s">
        <v>78</v>
      </c>
      <c r="O9" s="184"/>
      <c r="P9" s="182">
        <f t="shared" ref="P9:Q9" si="9">SUM(P73:P82)</f>
        <v>16540.534</v>
      </c>
      <c r="Q9" s="182">
        <f t="shared" si="9"/>
        <v>114874</v>
      </c>
      <c r="R9" s="182">
        <f>SUM(R73:R82)</f>
        <v>86245</v>
      </c>
      <c r="S9" s="182">
        <f>SUM(S73:S82)</f>
        <v>105678</v>
      </c>
      <c r="T9" s="182">
        <f>SUM(T73:T82)</f>
        <v>114101.1706</v>
      </c>
      <c r="U9" s="182">
        <f>SUM(U73:U82)</f>
        <v>112629.8616</v>
      </c>
      <c r="V9" s="475">
        <f>SUM(V73:V82)</f>
        <v>117178.6352</v>
      </c>
      <c r="W9" s="6">
        <f t="shared" si="6"/>
        <v>4.0386923462223272E-2</v>
      </c>
      <c r="X9" s="6"/>
    </row>
    <row r="10" spans="2:25">
      <c r="C10" s="172"/>
      <c r="D10" s="487">
        <f>SUM(D5:D9)</f>
        <v>1376886.3327888036</v>
      </c>
      <c r="E10" s="489">
        <f t="shared" si="3"/>
        <v>1</v>
      </c>
      <c r="N10" s="173"/>
      <c r="O10" s="173"/>
      <c r="P10" s="179">
        <f>SUM(P5:P9)</f>
        <v>2074842.5148978683</v>
      </c>
      <c r="Q10" s="179">
        <f t="shared" ref="Q10:R10" si="10">SUM(Q5:Q9)</f>
        <v>1965131.4904888074</v>
      </c>
      <c r="R10" s="179">
        <f t="shared" si="10"/>
        <v>2035506.1600679182</v>
      </c>
      <c r="S10" s="179">
        <f t="shared" ref="S10:T10" si="11">SUM(S5:S9)</f>
        <v>1788666.4532242734</v>
      </c>
      <c r="T10" s="179">
        <f t="shared" si="11"/>
        <v>1569580.8887825592</v>
      </c>
      <c r="U10" s="179">
        <f>SUM(U5:U9)</f>
        <v>1716379.6269123349</v>
      </c>
      <c r="V10" s="476">
        <f>SUM(V5:V9)</f>
        <v>1486147.7844481696</v>
      </c>
      <c r="W10" s="6">
        <f t="shared" si="6"/>
        <v>-0.13413806529406244</v>
      </c>
      <c r="X10" s="6"/>
    </row>
    <row r="11" spans="2:25">
      <c r="N11" s="173"/>
      <c r="O11" s="173"/>
      <c r="P11" s="173"/>
      <c r="Q11" s="173"/>
      <c r="R11" s="173"/>
      <c r="S11" s="173"/>
      <c r="T11" s="173"/>
      <c r="U11" s="173"/>
      <c r="W11" s="6"/>
      <c r="X11" s="6"/>
    </row>
    <row r="12" spans="2:25">
      <c r="N12" s="173"/>
      <c r="O12" s="173"/>
      <c r="P12" s="173"/>
      <c r="Q12" s="173"/>
      <c r="R12" s="173"/>
      <c r="S12" s="173"/>
      <c r="T12" s="173"/>
      <c r="U12" s="173"/>
      <c r="W12" s="6"/>
      <c r="X12" s="6"/>
    </row>
    <row r="13" spans="2:25" ht="15.75" thickBot="1">
      <c r="B13" s="188" t="s">
        <v>75</v>
      </c>
      <c r="N13" s="173"/>
      <c r="O13" s="189">
        <v>2010</v>
      </c>
      <c r="P13" s="189">
        <v>2011</v>
      </c>
      <c r="Q13" s="189">
        <v>2012</v>
      </c>
      <c r="R13" s="189">
        <v>2013</v>
      </c>
      <c r="S13" s="189">
        <v>2014</v>
      </c>
      <c r="T13" s="189">
        <v>2015</v>
      </c>
      <c r="U13" s="189">
        <v>2016</v>
      </c>
      <c r="V13" s="189">
        <v>2017</v>
      </c>
      <c r="W13" s="6">
        <f t="shared" si="6"/>
        <v>4.96031746031746E-4</v>
      </c>
      <c r="X13" s="6"/>
    </row>
    <row r="14" spans="2:25">
      <c r="C14" s="160" t="str">
        <f>Elfosyning!C53</f>
        <v>Kul og brunkul</v>
      </c>
      <c r="D14" s="484">
        <f t="shared" ref="D14:D20" si="12">V14</f>
        <v>0.1671</v>
      </c>
      <c r="M14" s="340"/>
      <c r="N14" s="175" t="s">
        <v>154</v>
      </c>
      <c r="O14" s="220">
        <f>Elfosyning!D53</f>
        <v>0.41014690683775057</v>
      </c>
      <c r="P14" s="220">
        <f>Elfosyning!E53</f>
        <v>0.34642240118269813</v>
      </c>
      <c r="Q14" s="220">
        <f>Elfosyning!F53</f>
        <v>0.27390373598962314</v>
      </c>
      <c r="R14" s="220">
        <f>Elfosyning!G53</f>
        <v>0.38418132069029687</v>
      </c>
      <c r="S14" s="220">
        <f>Elfosyning!H53</f>
        <v>0.30046380995508848</v>
      </c>
      <c r="T14" s="220">
        <f>Elfosyning!I53</f>
        <v>0.18845748845200772</v>
      </c>
      <c r="U14" s="220">
        <f>Elfosyning!J53</f>
        <v>0.24</v>
      </c>
      <c r="V14" s="477">
        <f>Elfosyning!K53</f>
        <v>0.1671</v>
      </c>
      <c r="W14" s="6">
        <f t="shared" si="6"/>
        <v>-0.30374999999999996</v>
      </c>
      <c r="X14" s="6"/>
    </row>
    <row r="15" spans="2:25">
      <c r="C15" s="161" t="str">
        <f>Elfosyning!C54</f>
        <v>Naturgas</v>
      </c>
      <c r="D15" s="485">
        <f t="shared" si="12"/>
        <v>6.4899999999999999E-2</v>
      </c>
      <c r="N15" s="178" t="str">
        <f t="shared" ref="N15:N20" si="13">C15</f>
        <v>Naturgas</v>
      </c>
      <c r="O15" s="221">
        <f>Elfosyning!D54</f>
        <v>0.20142733055092529</v>
      </c>
      <c r="P15" s="221">
        <f>Elfosyning!E54</f>
        <v>0.15552703922685684</v>
      </c>
      <c r="Q15" s="221">
        <f>Elfosyning!F54</f>
        <v>0.12129190039677198</v>
      </c>
      <c r="R15" s="221">
        <f>Elfosyning!G54</f>
        <v>0.10193972752136428</v>
      </c>
      <c r="S15" s="221">
        <f>Elfosyning!H54</f>
        <v>6.652030730056771E-2</v>
      </c>
      <c r="T15" s="221">
        <f>Elfosyning!I54</f>
        <v>5.8065588112666995E-2</v>
      </c>
      <c r="U15" s="221">
        <f>Elfosyning!J54</f>
        <v>0.08</v>
      </c>
      <c r="V15" s="478">
        <f>Elfosyning!K54</f>
        <v>6.4899999999999999E-2</v>
      </c>
      <c r="W15" s="6">
        <f t="shared" si="6"/>
        <v>-0.18875000000000003</v>
      </c>
      <c r="X15" s="6"/>
    </row>
    <row r="16" spans="2:25">
      <c r="C16" s="161" t="str">
        <f>Elfosyning!C55</f>
        <v>Vind, vand, sol</v>
      </c>
      <c r="D16" s="485">
        <f t="shared" si="12"/>
        <v>0.55020000000000002</v>
      </c>
      <c r="N16" s="178" t="s">
        <v>155</v>
      </c>
      <c r="O16" s="221">
        <f>Elfosyning!D55</f>
        <v>0.22686863517012898</v>
      </c>
      <c r="P16" s="221">
        <f>Elfosyning!E55</f>
        <v>0.33488718532377865</v>
      </c>
      <c r="Q16" s="221">
        <f>Elfosyning!F55</f>
        <v>0.40797378340736712</v>
      </c>
      <c r="R16" s="221">
        <f>Elfosyning!G55</f>
        <v>0.35189985151384445</v>
      </c>
      <c r="S16" s="221">
        <f>Elfosyning!H55</f>
        <v>0.46528943102371312</v>
      </c>
      <c r="T16" s="221">
        <f>Elfosyning!I55</f>
        <v>0.57610459910214673</v>
      </c>
      <c r="U16" s="221">
        <f>Elfosyning!J55</f>
        <v>0.51</v>
      </c>
      <c r="V16" s="478">
        <f>Elfosyning!K55</f>
        <v>0.55020000000000002</v>
      </c>
      <c r="W16" s="6">
        <f t="shared" si="6"/>
        <v>7.8823529411764737E-2</v>
      </c>
      <c r="X16" s="6">
        <f>(V16-U16)/U16</f>
        <v>7.8823529411764737E-2</v>
      </c>
    </row>
    <row r="17" spans="1:24">
      <c r="C17" s="161" t="str">
        <f>Elfosyning!C56</f>
        <v>Affald, biomasse, biogas</v>
      </c>
      <c r="D17" s="485">
        <f t="shared" si="12"/>
        <v>0.17780000000000001</v>
      </c>
      <c r="N17" s="178" t="s">
        <v>156</v>
      </c>
      <c r="O17" s="221">
        <f>Elfosyning!D56</f>
        <v>0.12537407591136115</v>
      </c>
      <c r="P17" s="221">
        <f>Elfosyning!E56</f>
        <v>0.1262147341890634</v>
      </c>
      <c r="Q17" s="221">
        <f>Elfosyning!F56</f>
        <v>0.13894964192058426</v>
      </c>
      <c r="R17" s="221">
        <f>Elfosyning!G56</f>
        <v>0.13474101266823266</v>
      </c>
      <c r="S17" s="221">
        <f>Elfosyning!H56</f>
        <v>0.13368886579223474</v>
      </c>
      <c r="T17" s="221">
        <f>Elfosyning!I56</f>
        <v>0.13258121983605445</v>
      </c>
      <c r="U17" s="221">
        <f>Elfosyning!J56</f>
        <v>0.14000000000000001</v>
      </c>
      <c r="V17" s="478">
        <f>Elfosyning!K56</f>
        <v>0.17780000000000001</v>
      </c>
      <c r="W17" s="6">
        <f t="shared" si="6"/>
        <v>0.26999999999999996</v>
      </c>
      <c r="X17" s="6"/>
    </row>
    <row r="18" spans="1:24">
      <c r="C18" s="161" t="str">
        <f>Elfosyning!C57</f>
        <v>Olie</v>
      </c>
      <c r="D18" s="485">
        <f t="shared" si="12"/>
        <v>5.0000000000000001E-3</v>
      </c>
      <c r="N18" s="178" t="str">
        <f t="shared" si="13"/>
        <v>Olie</v>
      </c>
      <c r="O18" s="221">
        <f>Elfosyning!D57</f>
        <v>1.4580011432219602E-2</v>
      </c>
      <c r="P18" s="221">
        <f>Elfosyning!E57</f>
        <v>8.1943678815445224E-3</v>
      </c>
      <c r="Q18" s="221">
        <f>Elfosyning!F57</f>
        <v>6.7580931802061145E-3</v>
      </c>
      <c r="R18" s="221">
        <f>Elfosyning!G57</f>
        <v>5.4749555099699856E-3</v>
      </c>
      <c r="S18" s="221">
        <f>Elfosyning!H57</f>
        <v>4.4382387054640194E-3</v>
      </c>
      <c r="T18" s="221">
        <f>Elfosyning!I57</f>
        <v>5.9130924145595299E-3</v>
      </c>
      <c r="U18" s="221">
        <f>Elfosyning!J57</f>
        <v>5.9130924145595299E-3</v>
      </c>
      <c r="V18" s="478">
        <f>Elfosyning!K57</f>
        <v>5.0000000000000001E-3</v>
      </c>
      <c r="W18" s="6">
        <f t="shared" si="6"/>
        <v>-0.15441876272917116</v>
      </c>
      <c r="X18" s="6"/>
    </row>
    <row r="19" spans="1:24">
      <c r="C19" s="161" t="str">
        <f>Elfosyning!C58</f>
        <v>Atomkraft</v>
      </c>
      <c r="D19" s="485">
        <f t="shared" si="12"/>
        <v>3.49E-2</v>
      </c>
      <c r="N19" s="178" t="str">
        <f t="shared" si="13"/>
        <v>Atomkraft</v>
      </c>
      <c r="O19" s="221">
        <f>Elfosyning!D58</f>
        <v>2.1603040097614476E-2</v>
      </c>
      <c r="P19" s="221">
        <f>Elfosyning!E58</f>
        <v>2.8754272196058417E-2</v>
      </c>
      <c r="Q19" s="221">
        <f>Elfosyning!F58</f>
        <v>5.1122845105447484E-2</v>
      </c>
      <c r="R19" s="221">
        <f>Elfosyning!G58</f>
        <v>2.1763132096291667E-2</v>
      </c>
      <c r="S19" s="221">
        <f>Elfosyning!H58</f>
        <v>2.959934722293199E-2</v>
      </c>
      <c r="T19" s="221">
        <f>Elfosyning!I58</f>
        <v>3.887801208256448E-2</v>
      </c>
      <c r="U19" s="221">
        <f>Elfosyning!J58</f>
        <v>0.02</v>
      </c>
      <c r="V19" s="478">
        <f>Elfosyning!K58</f>
        <v>3.49E-2</v>
      </c>
      <c r="W19" s="6">
        <f t="shared" si="6"/>
        <v>0.745</v>
      </c>
      <c r="X19" s="6"/>
    </row>
    <row r="20" spans="1:24" ht="15.75" thickBot="1">
      <c r="C20" s="133" t="str">
        <f>Elfosyning!C59</f>
        <v>Sum</v>
      </c>
      <c r="D20" s="486">
        <f t="shared" si="12"/>
        <v>0.99990000000000001</v>
      </c>
      <c r="N20" s="185" t="str">
        <f t="shared" si="13"/>
        <v>Sum</v>
      </c>
      <c r="O20" s="222">
        <f>SUM(O14:O19)</f>
        <v>1.0000000000000002</v>
      </c>
      <c r="P20" s="222">
        <f t="shared" ref="P20:R20" si="14">SUM(P14:P19)</f>
        <v>1</v>
      </c>
      <c r="Q20" s="222">
        <f t="shared" si="14"/>
        <v>1</v>
      </c>
      <c r="R20" s="222">
        <f t="shared" si="14"/>
        <v>1</v>
      </c>
      <c r="S20" s="222">
        <f t="shared" ref="S20:T20" si="15">SUM(S14:S19)</f>
        <v>1</v>
      </c>
      <c r="T20" s="222">
        <f t="shared" si="15"/>
        <v>0.99999999999999978</v>
      </c>
      <c r="U20" s="222">
        <f t="shared" ref="U20:V20" si="16">SUM(U14:U19)</f>
        <v>0.99591309241455961</v>
      </c>
      <c r="V20" s="479">
        <f t="shared" si="16"/>
        <v>0.99990000000000001</v>
      </c>
      <c r="W20" s="6">
        <f t="shared" si="6"/>
        <v>4.0032685741426214E-3</v>
      </c>
      <c r="X20" s="6"/>
    </row>
    <row r="21" spans="1:24">
      <c r="C21" s="172"/>
      <c r="D21" s="194"/>
      <c r="N21" s="173"/>
      <c r="O21" s="173"/>
      <c r="P21" s="173"/>
      <c r="Q21" s="173"/>
      <c r="R21" s="173"/>
      <c r="S21" s="173"/>
      <c r="T21" s="173"/>
      <c r="U21" s="173"/>
      <c r="W21" s="6"/>
      <c r="X21" s="6"/>
    </row>
    <row r="22" spans="1:24">
      <c r="C22" s="172"/>
      <c r="D22" s="194"/>
      <c r="N22" s="173"/>
      <c r="O22" s="173"/>
      <c r="P22" s="173"/>
      <c r="Q22" s="173"/>
      <c r="R22" s="173"/>
      <c r="S22" s="173"/>
      <c r="T22" s="173"/>
      <c r="U22" s="173"/>
      <c r="W22" s="6"/>
      <c r="X22" s="6"/>
    </row>
    <row r="23" spans="1:24" ht="15.75" thickBot="1">
      <c r="C23" s="172"/>
      <c r="D23" s="194"/>
      <c r="W23" s="6"/>
      <c r="X23" s="6"/>
    </row>
    <row r="24" spans="1:24">
      <c r="A24" s="345"/>
      <c r="B24" s="188" t="s">
        <v>3</v>
      </c>
      <c r="C24" s="160" t="s">
        <v>6</v>
      </c>
      <c r="D24" s="373">
        <f t="shared" ref="D24:D29" si="17">T24</f>
        <v>468064.5004436301</v>
      </c>
      <c r="N24" s="160" t="s">
        <v>6</v>
      </c>
      <c r="O24" s="198"/>
      <c r="P24" s="176">
        <f>Elfosyning!O8/1000</f>
        <v>596550</v>
      </c>
      <c r="Q24" s="176">
        <f>Elfosyning!P8/1000</f>
        <v>495551.41279539908</v>
      </c>
      <c r="R24" s="176">
        <f>Elfosyning!Q8/1000</f>
        <v>482976.17700000003</v>
      </c>
      <c r="S24" s="176">
        <f>Elfosyning!R8/1000</f>
        <v>486587.02747450746</v>
      </c>
      <c r="T24" s="176">
        <f>Elfosyning!S8/1000</f>
        <v>468064.5004436301</v>
      </c>
      <c r="U24" s="176">
        <f>Elfosyning!T8/1000</f>
        <v>2371871.2358424859</v>
      </c>
      <c r="V24" s="473">
        <f>Elfosyning!U8/1000</f>
        <v>2336486.134023394</v>
      </c>
      <c r="W24" s="6">
        <f t="shared" si="6"/>
        <v>-1.4918643678615713E-2</v>
      </c>
      <c r="X24" s="6"/>
    </row>
    <row r="25" spans="1:24">
      <c r="A25" s="345"/>
      <c r="B25" s="188" t="s">
        <v>62</v>
      </c>
      <c r="C25" s="161" t="s">
        <v>7</v>
      </c>
      <c r="D25" s="363">
        <f t="shared" si="17"/>
        <v>925439.76699999999</v>
      </c>
      <c r="N25" s="161" t="s">
        <v>7</v>
      </c>
      <c r="O25" s="172"/>
      <c r="P25" s="179">
        <f>Elfosyning!O9/1000</f>
        <v>912961</v>
      </c>
      <c r="Q25" s="179">
        <f>Elfosyning!P9/1000</f>
        <v>976955.50243192143</v>
      </c>
      <c r="R25" s="179">
        <f>Elfosyning!Q9/1000</f>
        <v>945429</v>
      </c>
      <c r="S25" s="179">
        <f>Elfosyning!R9/1000</f>
        <v>940328</v>
      </c>
      <c r="T25" s="179">
        <f>Elfosyning!S9/1000</f>
        <v>925439.76699999999</v>
      </c>
      <c r="U25" s="179">
        <f>Elfosyning!T9/1000</f>
        <v>0</v>
      </c>
      <c r="V25" s="474">
        <f>Elfosyning!V9/1000</f>
        <v>0</v>
      </c>
      <c r="W25" s="6"/>
      <c r="X25" s="6"/>
    </row>
    <row r="26" spans="1:24">
      <c r="A26" s="345"/>
      <c r="C26" s="161" t="s">
        <v>8</v>
      </c>
      <c r="D26" s="363">
        <f t="shared" si="17"/>
        <v>662541.96200000006</v>
      </c>
      <c r="N26" s="161" t="s">
        <v>8</v>
      </c>
      <c r="O26" s="172"/>
      <c r="P26" s="179">
        <f>Elfosyning!O10/1000</f>
        <v>695273</v>
      </c>
      <c r="Q26" s="179">
        <f>Elfosyning!P10/1000</f>
        <v>693419.42226858519</v>
      </c>
      <c r="R26" s="179">
        <f>Elfosyning!Q10/1000</f>
        <v>656755</v>
      </c>
      <c r="S26" s="179">
        <f>Elfosyning!R10/1000</f>
        <v>663253</v>
      </c>
      <c r="T26" s="179">
        <f>Elfosyning!S10/1000</f>
        <v>662541.96200000006</v>
      </c>
      <c r="U26" s="179">
        <f>Elfosyning!T10/1000</f>
        <v>0</v>
      </c>
      <c r="V26" s="474">
        <f>Elfosyning!V10/1000</f>
        <v>0</v>
      </c>
      <c r="W26" s="6"/>
      <c r="X26" s="6"/>
    </row>
    <row r="27" spans="1:24">
      <c r="A27" s="345"/>
      <c r="C27" s="161" t="s">
        <v>2</v>
      </c>
      <c r="D27" s="363">
        <f t="shared" si="17"/>
        <v>200708.65599999999</v>
      </c>
      <c r="N27" s="161" t="s">
        <v>2</v>
      </c>
      <c r="O27" s="172"/>
      <c r="P27" s="179">
        <f>Elfosyning!O11/1000</f>
        <v>220731</v>
      </c>
      <c r="Q27" s="179">
        <f>Elfosyning!P11/1000</f>
        <v>216362.40775971409</v>
      </c>
      <c r="R27" s="179">
        <f>Elfosyning!Q11/1000</f>
        <v>152144</v>
      </c>
      <c r="S27" s="179">
        <f>Elfosyning!R11/1000</f>
        <v>179228</v>
      </c>
      <c r="T27" s="179">
        <f>Elfosyning!S11/1000</f>
        <v>200708.65599999999</v>
      </c>
      <c r="U27" s="179">
        <f>Elfosyning!T11/1000</f>
        <v>0</v>
      </c>
      <c r="V27" s="474">
        <f>Elfosyning!V11/1000</f>
        <v>0</v>
      </c>
      <c r="W27" s="6"/>
      <c r="X27" s="6"/>
    </row>
    <row r="28" spans="1:24">
      <c r="A28" s="345"/>
      <c r="C28" s="161" t="s">
        <v>9</v>
      </c>
      <c r="D28" s="363">
        <f t="shared" si="17"/>
        <v>177.13300000000001</v>
      </c>
      <c r="N28" s="161" t="s">
        <v>9</v>
      </c>
      <c r="O28" s="172"/>
      <c r="P28" s="179">
        <f>Elfosyning!O12/1000</f>
        <v>149</v>
      </c>
      <c r="Q28" s="179">
        <f>Elfosyning!P12/1000</f>
        <v>133.4319459073572</v>
      </c>
      <c r="R28" s="179">
        <f>Elfosyning!Q12/1000</f>
        <v>130</v>
      </c>
      <c r="S28" s="179">
        <f>Elfosyning!R12/1000</f>
        <v>195</v>
      </c>
      <c r="T28" s="179">
        <f>Elfosyning!S12/1000</f>
        <v>177.13300000000001</v>
      </c>
      <c r="U28" s="179">
        <f>Elfosyning!T12/1000</f>
        <v>0</v>
      </c>
      <c r="V28" s="474">
        <f>Elfosyning!V12/1000</f>
        <v>0</v>
      </c>
      <c r="W28" s="6"/>
      <c r="X28" s="6"/>
    </row>
    <row r="29" spans="1:24">
      <c r="A29" s="345"/>
      <c r="C29" s="161" t="s">
        <v>10</v>
      </c>
      <c r="D29" s="363">
        <f t="shared" si="17"/>
        <v>74936.767999999996</v>
      </c>
      <c r="N29" s="161" t="s">
        <v>10</v>
      </c>
      <c r="O29" s="172"/>
      <c r="P29" s="179">
        <f>Elfosyning!O13/1000</f>
        <v>37595</v>
      </c>
      <c r="Q29" s="179">
        <f>Elfosyning!P13/1000</f>
        <v>42362.656686646318</v>
      </c>
      <c r="R29" s="179">
        <f>Elfosyning!Q13/1000</f>
        <v>50136</v>
      </c>
      <c r="S29" s="179">
        <f>Elfosyning!R13/1000</f>
        <v>62827</v>
      </c>
      <c r="T29" s="179">
        <f>Elfosyning!S13/1000</f>
        <v>74936.767999999996</v>
      </c>
      <c r="U29" s="179">
        <f>Elfosyning!T13/1000</f>
        <v>0</v>
      </c>
      <c r="V29" s="474">
        <f>Elfosyning!V13/1000</f>
        <v>0</v>
      </c>
      <c r="W29" s="6"/>
      <c r="X29" s="6"/>
    </row>
    <row r="30" spans="1:24" ht="15.75" thickBot="1">
      <c r="A30" s="345"/>
      <c r="C30" s="133" t="s">
        <v>96</v>
      </c>
      <c r="D30" s="374">
        <f>SUM(D24:D29)</f>
        <v>2331868.7864436302</v>
      </c>
      <c r="N30" s="133" t="s">
        <v>96</v>
      </c>
      <c r="O30" s="143"/>
      <c r="P30" s="195">
        <f t="shared" ref="P30:U30" si="18">SUM(P24:P29)</f>
        <v>2463259</v>
      </c>
      <c r="Q30" s="195">
        <f t="shared" si="18"/>
        <v>2424784.8338881736</v>
      </c>
      <c r="R30" s="195">
        <f t="shared" si="18"/>
        <v>2287570.1770000001</v>
      </c>
      <c r="S30" s="195">
        <f t="shared" si="18"/>
        <v>2332418.0274745077</v>
      </c>
      <c r="T30" s="195">
        <f t="shared" si="18"/>
        <v>2331868.7864436302</v>
      </c>
      <c r="U30" s="195">
        <f t="shared" si="18"/>
        <v>2371871.2358424859</v>
      </c>
      <c r="V30" s="480">
        <f t="shared" ref="V30" si="19">SUM(V24:V29)</f>
        <v>2336486.134023394</v>
      </c>
      <c r="W30" s="6">
        <f t="shared" si="6"/>
        <v>-1.4918643678615713E-2</v>
      </c>
      <c r="X30" s="6"/>
    </row>
    <row r="31" spans="1:24" ht="15.75" thickBot="1">
      <c r="N31" s="173"/>
      <c r="O31" s="173"/>
      <c r="P31" s="189"/>
      <c r="Q31" s="189"/>
      <c r="R31" s="189"/>
      <c r="S31" s="189"/>
      <c r="T31" s="189"/>
      <c r="U31" s="189"/>
      <c r="W31" s="6"/>
      <c r="X31" s="6"/>
    </row>
    <row r="32" spans="1:24">
      <c r="B32" s="188" t="s">
        <v>3</v>
      </c>
      <c r="C32" s="160" t="s">
        <v>6</v>
      </c>
      <c r="D32" s="373">
        <f>T32</f>
        <v>114950.21873985375</v>
      </c>
      <c r="N32" s="160" t="s">
        <v>6</v>
      </c>
      <c r="O32" s="198"/>
      <c r="P32" s="176">
        <f>Elfosyning!O20</f>
        <v>254247.59214843638</v>
      </c>
      <c r="Q32" s="176">
        <f>Elfosyning!P20</f>
        <v>177725.01359090029</v>
      </c>
      <c r="R32" s="176">
        <f>Elfosyning!Q20</f>
        <v>206811.82733567024</v>
      </c>
      <c r="S32" s="176">
        <f>Elfosyning!R20</f>
        <v>168296.1795599848</v>
      </c>
      <c r="T32" s="176">
        <f>Elfosyning!S20</f>
        <v>114950.21873985375</v>
      </c>
      <c r="U32" s="176">
        <f>Elfosyning!T20</f>
        <v>715508.51940842625</v>
      </c>
      <c r="V32" s="473">
        <f>Elfosyning!U20</f>
        <v>534257.46338882193</v>
      </c>
      <c r="W32" s="6">
        <f t="shared" si="6"/>
        <v>-0.25331781677381071</v>
      </c>
      <c r="X32" s="6"/>
    </row>
    <row r="33" spans="2:24">
      <c r="B33" s="188" t="s">
        <v>228</v>
      </c>
      <c r="C33" s="161" t="s">
        <v>7</v>
      </c>
      <c r="D33" s="363">
        <f t="shared" ref="D33:D37" si="20">T33</f>
        <v>227275.30830982293</v>
      </c>
      <c r="N33" s="161" t="s">
        <v>7</v>
      </c>
      <c r="O33" s="172"/>
      <c r="P33" s="179">
        <f>Elfosyning!O21</f>
        <v>389100.89007699041</v>
      </c>
      <c r="Q33" s="179">
        <f>Elfosyning!P21</f>
        <v>350376.21821715072</v>
      </c>
      <c r="R33" s="179">
        <f>Elfosyning!Q21</f>
        <v>404835.49379317596</v>
      </c>
      <c r="S33" s="179">
        <f>Elfosyning!R21</f>
        <v>325231.87219900219</v>
      </c>
      <c r="T33" s="179">
        <f>Elfosyning!S21</f>
        <v>227275.30830982293</v>
      </c>
      <c r="U33" s="179">
        <f>Elfosyning!T21</f>
        <v>0</v>
      </c>
      <c r="V33" s="474">
        <f>Elfosyning!V21</f>
        <v>0</v>
      </c>
      <c r="W33" s="6"/>
      <c r="X33" s="6"/>
    </row>
    <row r="34" spans="2:24">
      <c r="C34" s="161" t="s">
        <v>8</v>
      </c>
      <c r="D34" s="363">
        <f t="shared" si="20"/>
        <v>162711.21476644409</v>
      </c>
      <c r="N34" s="161" t="s">
        <v>8</v>
      </c>
      <c r="O34" s="172"/>
      <c r="P34" s="179">
        <f>Elfosyning!O22</f>
        <v>296323.00081438239</v>
      </c>
      <c r="Q34" s="179">
        <f>Elfosyning!P22</f>
        <v>248688.57814710832</v>
      </c>
      <c r="R34" s="179">
        <f>Elfosyning!Q22</f>
        <v>281224.43327435193</v>
      </c>
      <c r="S34" s="179">
        <f>Elfosyning!R22</f>
        <v>229399.75724598736</v>
      </c>
      <c r="T34" s="179">
        <f>Elfosyning!S22</f>
        <v>162711.21476644409</v>
      </c>
      <c r="U34" s="179">
        <f>Elfosyning!T22</f>
        <v>0</v>
      </c>
      <c r="V34" s="474">
        <f>Elfosyning!V22</f>
        <v>0</v>
      </c>
      <c r="W34" s="6"/>
      <c r="X34" s="6"/>
    </row>
    <row r="35" spans="2:24">
      <c r="C35" s="161" t="s">
        <v>2</v>
      </c>
      <c r="D35" s="363">
        <f t="shared" si="20"/>
        <v>49291.291880317687</v>
      </c>
      <c r="N35" s="161" t="s">
        <v>2</v>
      </c>
      <c r="O35" s="172"/>
      <c r="P35" s="179">
        <f>Elfosyning!O23</f>
        <v>94074.805569552438</v>
      </c>
      <c r="Q35" s="179">
        <f>Elfosyning!P23</f>
        <v>77596.412535163923</v>
      </c>
      <c r="R35" s="179">
        <f>Elfosyning!Q23</f>
        <v>65148.510747680644</v>
      </c>
      <c r="S35" s="179">
        <f>Elfosyning!R23</f>
        <v>61989.707836502552</v>
      </c>
      <c r="T35" s="179">
        <f>Elfosyning!S23</f>
        <v>49291.291880317687</v>
      </c>
      <c r="U35" s="179">
        <f>Elfosyning!T23</f>
        <v>0</v>
      </c>
      <c r="V35" s="474">
        <f>Elfosyning!V23</f>
        <v>0</v>
      </c>
      <c r="W35" s="6"/>
      <c r="X35" s="6"/>
    </row>
    <row r="36" spans="2:24">
      <c r="C36" s="161" t="s">
        <v>9</v>
      </c>
      <c r="D36" s="363">
        <f t="shared" si="20"/>
        <v>43.501434261192564</v>
      </c>
      <c r="N36" s="161" t="s">
        <v>9</v>
      </c>
      <c r="O36" s="172"/>
      <c r="P36" s="179">
        <f>Elfosyning!O24</f>
        <v>63.503296002207726</v>
      </c>
      <c r="Q36" s="179">
        <f>Elfosyning!P24</f>
        <v>47.854155567984094</v>
      </c>
      <c r="R36" s="179">
        <f>Elfosyning!Q24</f>
        <v>55.666384459449489</v>
      </c>
      <c r="S36" s="179">
        <f>Elfosyning!R24</f>
        <v>67.444779990392121</v>
      </c>
      <c r="T36" s="179">
        <f>Elfosyning!S24</f>
        <v>43.501434261192564</v>
      </c>
      <c r="U36" s="179">
        <f>Elfosyning!T24</f>
        <v>0</v>
      </c>
      <c r="V36" s="474">
        <f>Elfosyning!V24</f>
        <v>0</v>
      </c>
      <c r="W36" s="6"/>
      <c r="X36" s="6"/>
    </row>
    <row r="37" spans="2:24">
      <c r="C37" s="161" t="s">
        <v>10</v>
      </c>
      <c r="D37" s="363">
        <f t="shared" si="20"/>
        <v>18403.441972406261</v>
      </c>
      <c r="N37" s="161" t="s">
        <v>10</v>
      </c>
      <c r="O37" s="172"/>
      <c r="P37" s="179">
        <f>Elfosyning!O25</f>
        <v>16022.861833577177</v>
      </c>
      <c r="Q37" s="179">
        <f>Elfosyning!P25</f>
        <v>15192.98208214242</v>
      </c>
      <c r="R37" s="179">
        <f>Elfosyning!Q25</f>
        <v>21468.383471222765</v>
      </c>
      <c r="S37" s="179">
        <f>Elfosyning!R25</f>
        <v>21730.016371571102</v>
      </c>
      <c r="T37" s="179">
        <f>Elfosyning!S25</f>
        <v>18403.441972406261</v>
      </c>
      <c r="U37" s="179">
        <f>Elfosyning!T25</f>
        <v>0</v>
      </c>
      <c r="V37" s="474">
        <f>Elfosyning!V25</f>
        <v>0</v>
      </c>
      <c r="W37" s="6"/>
      <c r="X37" s="6"/>
    </row>
    <row r="38" spans="2:24" ht="15.75" thickBot="1">
      <c r="C38" s="133" t="s">
        <v>96</v>
      </c>
      <c r="D38" s="374">
        <f>SUM(D32:D37)</f>
        <v>572674.97710310598</v>
      </c>
      <c r="N38" s="133" t="s">
        <v>96</v>
      </c>
      <c r="O38" s="143"/>
      <c r="P38" s="195">
        <f>SUM(P32:P37)</f>
        <v>1049832.6537389411</v>
      </c>
      <c r="Q38" s="195">
        <f t="shared" ref="Q38" si="21">SUM(Q32:Q37)</f>
        <v>869627.05872803356</v>
      </c>
      <c r="R38" s="195">
        <f t="shared" ref="R38:S38" si="22">SUM(R32:R37)</f>
        <v>979544.315006561</v>
      </c>
      <c r="S38" s="195">
        <f t="shared" si="22"/>
        <v>806714.97799303837</v>
      </c>
      <c r="T38" s="195">
        <f t="shared" ref="T38:U38" si="23">SUM(T32:T37)</f>
        <v>572674.97710310598</v>
      </c>
      <c r="U38" s="195">
        <f t="shared" si="23"/>
        <v>715508.51940842625</v>
      </c>
      <c r="V38" s="480">
        <f t="shared" ref="V38" si="24">SUM(V32:V37)</f>
        <v>534257.46338882193</v>
      </c>
      <c r="W38" s="6">
        <f t="shared" si="6"/>
        <v>-0.25331781677381071</v>
      </c>
      <c r="X38" s="6"/>
    </row>
    <row r="39" spans="2:24">
      <c r="N39" s="173"/>
      <c r="O39" s="173"/>
      <c r="P39" s="189"/>
      <c r="Q39" s="189"/>
      <c r="R39" s="189"/>
      <c r="S39" s="189"/>
      <c r="T39" s="189"/>
      <c r="U39" s="189"/>
      <c r="W39" s="6"/>
    </row>
    <row r="40" spans="2:24">
      <c r="N40" s="173"/>
      <c r="O40" s="173"/>
      <c r="P40" s="189"/>
      <c r="Q40" s="189"/>
      <c r="R40" s="189"/>
      <c r="S40" s="189"/>
      <c r="T40" s="189"/>
      <c r="U40" s="189"/>
      <c r="W40" s="6"/>
    </row>
    <row r="41" spans="2:24" ht="15.75" thickBot="1">
      <c r="B41" s="188" t="s">
        <v>153</v>
      </c>
      <c r="W41" s="6"/>
    </row>
    <row r="42" spans="2:24">
      <c r="B42" s="188" t="s">
        <v>62</v>
      </c>
      <c r="C42" s="160" t="s">
        <v>111</v>
      </c>
      <c r="D42" s="473">
        <f>V42</f>
        <v>676</v>
      </c>
      <c r="N42" s="175" t="s">
        <v>111</v>
      </c>
      <c r="O42" s="183"/>
      <c r="P42" s="176">
        <f>'VE-el'!E6</f>
        <v>105</v>
      </c>
      <c r="Q42" s="176">
        <f>'VE-el'!F6</f>
        <v>1879</v>
      </c>
      <c r="R42" s="176">
        <f>'VE-el'!G6</f>
        <v>0</v>
      </c>
      <c r="S42" s="176">
        <f>'VE-el'!H6</f>
        <v>751</v>
      </c>
      <c r="T42" s="176">
        <f>'VE-el'!I6</f>
        <v>736</v>
      </c>
      <c r="U42" s="176">
        <f>'VE-el'!J6</f>
        <v>760</v>
      </c>
      <c r="V42" s="473">
        <f>'VE-el'!K6</f>
        <v>676</v>
      </c>
      <c r="W42" s="6">
        <f t="shared" si="6"/>
        <v>-0.11052631578947368</v>
      </c>
      <c r="X42" s="6"/>
    </row>
    <row r="43" spans="2:24">
      <c r="C43" s="161" t="s">
        <v>115</v>
      </c>
      <c r="D43" s="474">
        <f>V43</f>
        <v>303423</v>
      </c>
      <c r="N43" s="178" t="s">
        <v>115</v>
      </c>
      <c r="O43" s="173"/>
      <c r="P43" s="179">
        <f>'VE-el'!E7</f>
        <v>96465</v>
      </c>
      <c r="Q43" s="179">
        <f>'VE-el'!F7</f>
        <v>99269.381492</v>
      </c>
      <c r="R43" s="179">
        <f>'VE-el'!G7</f>
        <v>86013.467338999995</v>
      </c>
      <c r="S43" s="179">
        <f>'VE-el'!H7</f>
        <v>178992.17942992001</v>
      </c>
      <c r="T43" s="179">
        <f>'VE-el'!I7</f>
        <v>233853.535764753</v>
      </c>
      <c r="U43" s="179">
        <f>'VE-el'!J7</f>
        <v>211144.59299999999</v>
      </c>
      <c r="V43" s="474">
        <f>'VE-el'!K7</f>
        <v>303423</v>
      </c>
      <c r="W43" s="6">
        <f t="shared" si="6"/>
        <v>0.43703892999997407</v>
      </c>
      <c r="X43" s="6"/>
    </row>
    <row r="44" spans="2:24">
      <c r="C44" s="161" t="s">
        <v>112</v>
      </c>
      <c r="D44" s="474">
        <f>V44</f>
        <v>59331.999999999993</v>
      </c>
      <c r="N44" s="178" t="s">
        <v>112</v>
      </c>
      <c r="O44" s="173"/>
      <c r="P44" s="179">
        <f>'VE-el'!E8</f>
        <v>132889</v>
      </c>
      <c r="Q44" s="179">
        <f>'VE-el'!F8</f>
        <v>128517</v>
      </c>
      <c r="R44" s="179">
        <f>'VE-el'!G8</f>
        <v>126449.4</v>
      </c>
      <c r="S44" s="179">
        <f>'VE-el'!H8</f>
        <v>118024.2</v>
      </c>
      <c r="T44" s="179">
        <f>'VE-el'!I8</f>
        <v>94202.5</v>
      </c>
      <c r="U44" s="179">
        <f>'VE-el'!J8</f>
        <v>108417.4</v>
      </c>
      <c r="V44" s="474">
        <f>'VE-el'!K8</f>
        <v>59331.999999999993</v>
      </c>
      <c r="W44" s="6">
        <f t="shared" si="6"/>
        <v>-0.45274467013597453</v>
      </c>
      <c r="X44" s="6"/>
    </row>
    <row r="45" spans="2:24">
      <c r="C45" s="161" t="s">
        <v>113</v>
      </c>
      <c r="D45" s="474">
        <f>V45</f>
        <v>180070</v>
      </c>
      <c r="N45" s="178" t="s">
        <v>113</v>
      </c>
      <c r="O45" s="173"/>
      <c r="P45" s="179">
        <f>'VE-el'!E9</f>
        <v>483758</v>
      </c>
      <c r="Q45" s="179">
        <f>'VE-el'!F9</f>
        <v>271956</v>
      </c>
      <c r="R45" s="179">
        <f>'VE-el'!G9</f>
        <v>202230</v>
      </c>
      <c r="S45" s="179">
        <f>'VE-el'!H9</f>
        <v>176480</v>
      </c>
      <c r="T45" s="179">
        <f>'VE-el'!I9</f>
        <v>142695</v>
      </c>
      <c r="U45" s="179">
        <f>'VE-el'!J9</f>
        <v>215678</v>
      </c>
      <c r="V45" s="474">
        <f>'VE-el'!K9</f>
        <v>180070</v>
      </c>
      <c r="W45" s="6">
        <f t="shared" si="6"/>
        <v>-0.16509797012212651</v>
      </c>
      <c r="X45" s="6"/>
    </row>
    <row r="46" spans="2:24" ht="15.75" thickBot="1">
      <c r="C46" s="133" t="s">
        <v>96</v>
      </c>
      <c r="D46" s="481">
        <f>V46</f>
        <v>543501</v>
      </c>
      <c r="N46" s="185" t="s">
        <v>96</v>
      </c>
      <c r="O46" s="186"/>
      <c r="P46" s="196">
        <f>SUM(P42:P45)</f>
        <v>713217</v>
      </c>
      <c r="Q46" s="196">
        <f t="shared" ref="Q46:R46" si="25">SUM(Q42:Q45)</f>
        <v>501621.38149200001</v>
      </c>
      <c r="R46" s="196">
        <f t="shared" si="25"/>
        <v>414692.86733899999</v>
      </c>
      <c r="S46" s="196">
        <f t="shared" ref="S46:T46" si="26">SUM(S42:S45)</f>
        <v>474247.37942991999</v>
      </c>
      <c r="T46" s="196">
        <f t="shared" si="26"/>
        <v>471487.035764753</v>
      </c>
      <c r="U46" s="196">
        <f t="shared" ref="U46:V46" si="27">SUM(U42:U45)</f>
        <v>535999.99300000002</v>
      </c>
      <c r="V46" s="481">
        <f t="shared" si="27"/>
        <v>543501</v>
      </c>
      <c r="W46" s="6">
        <f t="shared" si="6"/>
        <v>1.3994416227538987E-2</v>
      </c>
      <c r="X46" s="6"/>
    </row>
    <row r="47" spans="2:24">
      <c r="N47" s="173"/>
      <c r="O47" s="173"/>
      <c r="P47" s="189"/>
      <c r="Q47" s="189"/>
      <c r="R47" s="189"/>
      <c r="S47" s="189"/>
      <c r="T47" s="189"/>
      <c r="U47" s="189"/>
      <c r="W47" s="6"/>
    </row>
    <row r="48" spans="2:24" ht="15.75" thickBot="1">
      <c r="N48" s="173"/>
      <c r="O48" s="173"/>
      <c r="P48" s="189"/>
      <c r="Q48" s="189"/>
      <c r="R48" s="189"/>
      <c r="S48" s="189"/>
      <c r="T48" s="189"/>
      <c r="U48" s="189"/>
      <c r="W48" s="6"/>
    </row>
    <row r="49" spans="2:27">
      <c r="B49" s="227"/>
      <c r="C49" s="228"/>
      <c r="D49" s="200"/>
      <c r="E49" s="199"/>
      <c r="N49" s="175" t="s">
        <v>154</v>
      </c>
      <c r="O49" s="183"/>
      <c r="P49" s="176">
        <f>Fjernvarme!E54</f>
        <v>12880482</v>
      </c>
      <c r="Q49" s="176">
        <f>Fjernvarme!F54</f>
        <v>9949535</v>
      </c>
      <c r="R49" s="176">
        <f>Fjernvarme!G54</f>
        <v>12952908</v>
      </c>
      <c r="S49" s="176">
        <f>Fjernvarme!I54</f>
        <v>0</v>
      </c>
      <c r="T49" s="176">
        <f>Fjernvarme!K54</f>
        <v>0</v>
      </c>
      <c r="U49" s="176">
        <f>Fjernvarme!L54</f>
        <v>0</v>
      </c>
      <c r="V49" s="177">
        <f>Fjernvarme!M54</f>
        <v>0</v>
      </c>
      <c r="W49" s="6"/>
      <c r="X49" s="6"/>
    </row>
    <row r="50" spans="2:27">
      <c r="B50" s="227"/>
      <c r="C50" s="229"/>
      <c r="D50" s="163"/>
      <c r="E50" s="199"/>
      <c r="N50" s="178" t="s">
        <v>157</v>
      </c>
      <c r="O50" s="173"/>
      <c r="P50" s="179">
        <f>Fjernvarme!E55</f>
        <v>296464</v>
      </c>
      <c r="Q50" s="179">
        <f>Fjernvarme!F55</f>
        <v>420964</v>
      </c>
      <c r="R50" s="179">
        <f>Fjernvarme!G55</f>
        <v>319722</v>
      </c>
      <c r="S50" s="179">
        <f>Fjernvarme!I55</f>
        <v>0</v>
      </c>
      <c r="T50" s="179">
        <f>Fjernvarme!K55</f>
        <v>0</v>
      </c>
      <c r="U50" s="179">
        <f>Fjernvarme!L55</f>
        <v>0</v>
      </c>
      <c r="V50" s="180">
        <f>Fjernvarme!M55</f>
        <v>0</v>
      </c>
      <c r="W50" s="6"/>
      <c r="X50" s="6"/>
    </row>
    <row r="51" spans="2:27">
      <c r="B51" s="227"/>
      <c r="C51" s="229"/>
      <c r="D51" s="163"/>
      <c r="E51" s="199"/>
      <c r="N51" s="178" t="s">
        <v>158</v>
      </c>
      <c r="O51" s="173"/>
      <c r="P51" s="179">
        <f>Fjernvarme!E56</f>
        <v>1575433</v>
      </c>
      <c r="Q51" s="179">
        <f>Fjernvarme!F56</f>
        <v>621747</v>
      </c>
      <c r="R51" s="179">
        <f>Fjernvarme!G56</f>
        <v>820205</v>
      </c>
      <c r="S51" s="179">
        <f>Fjernvarme!I56</f>
        <v>0</v>
      </c>
      <c r="T51" s="179">
        <f>Fjernvarme!K56</f>
        <v>0</v>
      </c>
      <c r="U51" s="179">
        <f>Fjernvarme!L56</f>
        <v>0</v>
      </c>
      <c r="V51" s="180">
        <f>Fjernvarme!M56</f>
        <v>0</v>
      </c>
      <c r="W51" s="6"/>
      <c r="X51" s="6"/>
    </row>
    <row r="52" spans="2:27">
      <c r="B52" s="227"/>
      <c r="C52" s="229"/>
      <c r="D52" s="163"/>
      <c r="E52" s="199"/>
      <c r="N52" s="178" t="s">
        <v>159</v>
      </c>
      <c r="O52" s="173"/>
      <c r="P52" s="179">
        <f>Fjernvarme!E57</f>
        <v>4464662</v>
      </c>
      <c r="Q52" s="179">
        <f>Fjernvarme!F57</f>
        <v>5360187</v>
      </c>
      <c r="R52" s="179">
        <f>Fjernvarme!G57</f>
        <v>5350333</v>
      </c>
      <c r="S52" s="179">
        <f>Fjernvarme!I57</f>
        <v>0</v>
      </c>
      <c r="T52" s="179">
        <f>Fjernvarme!K57</f>
        <v>0</v>
      </c>
      <c r="U52" s="179">
        <f>Fjernvarme!L57</f>
        <v>0</v>
      </c>
      <c r="V52" s="180">
        <f>Fjernvarme!M57</f>
        <v>0</v>
      </c>
      <c r="W52" s="6"/>
      <c r="X52" s="6"/>
    </row>
    <row r="53" spans="2:27" ht="15.75" thickBot="1">
      <c r="B53" s="227"/>
      <c r="C53" s="230"/>
      <c r="D53" s="201"/>
      <c r="F53" s="188" t="s">
        <v>0</v>
      </c>
      <c r="N53" s="185" t="s">
        <v>96</v>
      </c>
      <c r="O53" s="186"/>
      <c r="P53" s="196"/>
      <c r="Q53" s="196"/>
      <c r="R53" s="196"/>
      <c r="S53" s="196"/>
      <c r="T53" s="196"/>
      <c r="U53" s="196"/>
      <c r="V53" s="197"/>
      <c r="W53" s="6"/>
      <c r="X53" s="6"/>
    </row>
    <row r="54" spans="2:27">
      <c r="N54" s="173"/>
      <c r="O54" s="173"/>
      <c r="P54" s="189"/>
      <c r="Q54" s="189"/>
      <c r="R54" s="189"/>
      <c r="S54" s="189"/>
      <c r="T54" s="189"/>
      <c r="U54" s="189"/>
      <c r="W54" s="6"/>
    </row>
    <row r="55" spans="2:27" ht="15.75" thickBot="1">
      <c r="N55" s="173" t="s">
        <v>246</v>
      </c>
      <c r="O55" s="173"/>
      <c r="P55" s="189"/>
      <c r="Q55" s="189"/>
      <c r="R55" s="189"/>
      <c r="S55" s="189"/>
      <c r="T55" s="189"/>
      <c r="U55" s="189"/>
      <c r="W55" s="6"/>
    </row>
    <row r="56" spans="2:27">
      <c r="B56" s="188" t="s">
        <v>0</v>
      </c>
      <c r="C56" s="160" t="s">
        <v>19</v>
      </c>
      <c r="D56" s="473">
        <f>V56</f>
        <v>25286.573693678376</v>
      </c>
      <c r="E56" s="488">
        <f>D56/$D$60</f>
        <v>6.8907532771866106E-2</v>
      </c>
      <c r="N56" s="160" t="s">
        <v>19</v>
      </c>
      <c r="O56" s="183"/>
      <c r="P56" s="176">
        <f>Fjernvarme!D30</f>
        <v>50404.670183698123</v>
      </c>
      <c r="Q56" s="176">
        <f>Fjernvarme!F30</f>
        <v>56728.478478409881</v>
      </c>
      <c r="R56" s="176">
        <f>Fjernvarme!G30</f>
        <v>39123.959290519029</v>
      </c>
      <c r="S56" s="176">
        <f>Fjernvarme!H30</f>
        <v>38214.876450181524</v>
      </c>
      <c r="T56" s="176">
        <f>Fjernvarme!I30</f>
        <v>34696.998629927286</v>
      </c>
      <c r="U56" s="176">
        <f>Fjernvarme!J30</f>
        <v>25630.780345740041</v>
      </c>
      <c r="V56" s="473">
        <f>Fjernvarme!K30</f>
        <v>25286.573693678376</v>
      </c>
      <c r="W56" s="6">
        <f t="shared" si="6"/>
        <v>-1.342942537911739E-2</v>
      </c>
      <c r="X56" s="6"/>
    </row>
    <row r="57" spans="2:27">
      <c r="C57" s="161" t="s">
        <v>20</v>
      </c>
      <c r="D57" s="474">
        <f>V57</f>
        <v>75904.587829944547</v>
      </c>
      <c r="E57" s="488">
        <f t="shared" ref="E57:E60" si="28">D57/$D$60</f>
        <v>0.20684486307982836</v>
      </c>
      <c r="N57" s="161" t="s">
        <v>20</v>
      </c>
      <c r="O57" s="173"/>
      <c r="P57" s="179">
        <f>Fjernvarme!D31</f>
        <v>117931.58319826161</v>
      </c>
      <c r="Q57" s="179">
        <f>Fjernvarme!F31</f>
        <v>122986.44444825224</v>
      </c>
      <c r="R57" s="179">
        <f>Fjernvarme!G31</f>
        <v>107960.27818768164</v>
      </c>
      <c r="S57" s="179">
        <f>Fjernvarme!H31</f>
        <v>109864.12346914079</v>
      </c>
      <c r="T57" s="179">
        <f>Fjernvarme!I31</f>
        <v>101225.18253348641</v>
      </c>
      <c r="U57" s="179">
        <f>Fjernvarme!J31</f>
        <v>92914.112843087845</v>
      </c>
      <c r="V57" s="474">
        <f>Fjernvarme!K31</f>
        <v>75904.587829944547</v>
      </c>
      <c r="W57" s="6">
        <f t="shared" si="6"/>
        <v>-0.18306718422710191</v>
      </c>
      <c r="X57" s="6"/>
    </row>
    <row r="58" spans="2:27">
      <c r="C58" s="161" t="s">
        <v>21</v>
      </c>
      <c r="D58" s="474">
        <f>V58</f>
        <v>255409.75880850275</v>
      </c>
      <c r="E58" s="488">
        <f t="shared" si="28"/>
        <v>0.69600795024876083</v>
      </c>
      <c r="N58" s="161" t="s">
        <v>21</v>
      </c>
      <c r="O58" s="173"/>
      <c r="P58" s="179">
        <f>Fjernvarme!D32</f>
        <v>319096.14964625612</v>
      </c>
      <c r="Q58" s="179">
        <f>Fjernvarme!F32</f>
        <v>301131.80472926662</v>
      </c>
      <c r="R58" s="179">
        <f>Fjernvarme!G32</f>
        <v>328748.55133058823</v>
      </c>
      <c r="S58" s="179">
        <f>Fjernvarme!H32</f>
        <v>280915.66625252116</v>
      </c>
      <c r="T58" s="179">
        <f>Fjernvarme!I32</f>
        <v>305869.980007654</v>
      </c>
      <c r="U58" s="179">
        <f>Fjernvarme!J32</f>
        <v>313760.08050524676</v>
      </c>
      <c r="V58" s="474">
        <f>Fjernvarme!K32</f>
        <v>255409.75880850275</v>
      </c>
      <c r="W58" s="6">
        <f t="shared" si="6"/>
        <v>-0.18597114586018301</v>
      </c>
      <c r="X58" s="6"/>
    </row>
    <row r="59" spans="2:27">
      <c r="C59" s="161" t="s">
        <v>22</v>
      </c>
      <c r="D59" s="474">
        <f>V59</f>
        <v>10362.93218883549</v>
      </c>
      <c r="E59" s="488">
        <f t="shared" si="28"/>
        <v>2.8239653899544651E-2</v>
      </c>
      <c r="N59" s="161" t="s">
        <v>22</v>
      </c>
      <c r="O59" s="173"/>
      <c r="P59" s="179">
        <f>Fjernvarme!D33</f>
        <v>18294.521669918082</v>
      </c>
      <c r="Q59" s="179">
        <f>Fjernvarme!F33</f>
        <v>19395.309835503769</v>
      </c>
      <c r="R59" s="179">
        <f>Fjernvarme!G33</f>
        <v>16285.000619377162</v>
      </c>
      <c r="S59" s="179">
        <f>Fjernvarme!H33</f>
        <v>15741.243469140782</v>
      </c>
      <c r="T59" s="179">
        <f>Fjernvarme!I33</f>
        <v>13998.888557213928</v>
      </c>
      <c r="U59" s="179">
        <f>Fjernvarme!J33</f>
        <v>12686.389841836959</v>
      </c>
      <c r="V59" s="474">
        <f>Fjernvarme!K33</f>
        <v>10362.93218883549</v>
      </c>
      <c r="W59" s="6">
        <f t="shared" si="6"/>
        <v>-0.18314569250735227</v>
      </c>
      <c r="X59" s="6"/>
    </row>
    <row r="60" spans="2:27" ht="15.75" thickBot="1">
      <c r="C60" s="133" t="s">
        <v>66</v>
      </c>
      <c r="D60" s="480">
        <f>SUM(D56:D59)</f>
        <v>366963.8525209612</v>
      </c>
      <c r="E60" s="488">
        <f t="shared" si="28"/>
        <v>1</v>
      </c>
      <c r="N60" s="133" t="s">
        <v>66</v>
      </c>
      <c r="O60" s="186"/>
      <c r="P60" s="196">
        <f t="shared" ref="P60:Q60" si="29">SUM(P56:P59)</f>
        <v>505726.92469813395</v>
      </c>
      <c r="Q60" s="196">
        <f t="shared" si="29"/>
        <v>500242.03749143245</v>
      </c>
      <c r="R60" s="196">
        <f>SUM(R56:R59)</f>
        <v>492117.78942816606</v>
      </c>
      <c r="S60" s="196">
        <f>SUM(S56:S59)</f>
        <v>444735.90964098426</v>
      </c>
      <c r="T60" s="196">
        <f>SUM(T56:T59)</f>
        <v>455791.04972828162</v>
      </c>
      <c r="U60" s="196">
        <f>SUM(U56:U59)</f>
        <v>444991.3635359116</v>
      </c>
      <c r="V60" s="480">
        <f>SUM(V56:V59)</f>
        <v>366963.8525209612</v>
      </c>
      <c r="W60" s="6">
        <f t="shared" si="6"/>
        <v>-0.17534612446170192</v>
      </c>
      <c r="X60" s="6"/>
    </row>
    <row r="61" spans="2:27">
      <c r="N61" s="173"/>
      <c r="O61" s="173"/>
      <c r="P61" s="189"/>
      <c r="Q61" s="189"/>
      <c r="R61" s="189"/>
      <c r="S61" s="189"/>
      <c r="T61" s="189"/>
      <c r="U61" s="189"/>
      <c r="W61" s="6"/>
    </row>
    <row r="62" spans="2:27" ht="15.75" thickBot="1">
      <c r="N62" s="173"/>
      <c r="O62" s="173"/>
      <c r="P62" s="189">
        <v>2011</v>
      </c>
      <c r="Q62" s="189">
        <v>2012</v>
      </c>
      <c r="R62" s="189">
        <v>2013</v>
      </c>
      <c r="S62" s="189">
        <v>2014</v>
      </c>
      <c r="T62" s="189">
        <v>2015</v>
      </c>
      <c r="U62" s="189">
        <v>2016</v>
      </c>
      <c r="V62" s="189">
        <v>2017</v>
      </c>
      <c r="W62" s="6"/>
      <c r="X62" s="275"/>
    </row>
    <row r="63" spans="2:27">
      <c r="C63" s="160" t="s">
        <v>3</v>
      </c>
      <c r="D63" s="467">
        <f t="shared" ref="D63:D82" si="30">V63</f>
        <v>534257.46338882193</v>
      </c>
      <c r="E63" s="270"/>
      <c r="F63" s="273"/>
      <c r="G63" s="274"/>
      <c r="N63" s="175" t="s">
        <v>116</v>
      </c>
      <c r="O63" s="183"/>
      <c r="P63" s="332">
        <f>Elfosyning!O29</f>
        <v>1049832.6537389411</v>
      </c>
      <c r="Q63" s="332">
        <f>Elfosyning!P29</f>
        <v>869627.05872803356</v>
      </c>
      <c r="R63" s="332">
        <f>Elfosyning!Q29</f>
        <v>979544.315006561</v>
      </c>
      <c r="S63" s="332">
        <f>Elfosyning!R29</f>
        <v>806714.97799303837</v>
      </c>
      <c r="T63" s="332">
        <f>Elfosyning!S29</f>
        <v>572674.97710310598</v>
      </c>
      <c r="U63" s="463">
        <f>Elfosyning!T29</f>
        <v>715508.51940842625</v>
      </c>
      <c r="V63" s="462">
        <f>Elfosyning!U29</f>
        <v>534257.46338882193</v>
      </c>
      <c r="W63" s="6">
        <f>(V63-U63)/U63</f>
        <v>-0.25331781677381071</v>
      </c>
      <c r="X63" s="6">
        <f>AA76/$U$84</f>
        <v>0.36429144197791641</v>
      </c>
      <c r="AA63" s="276"/>
    </row>
    <row r="64" spans="2:27">
      <c r="C64" s="161" t="s">
        <v>1</v>
      </c>
      <c r="D64" s="468">
        <f t="shared" si="30"/>
        <v>337930.55799999996</v>
      </c>
      <c r="E64" s="270"/>
      <c r="N64" s="178" t="s">
        <v>117</v>
      </c>
      <c r="O64" s="173"/>
      <c r="P64" s="333">
        <f>Fjernvarme!C20</f>
        <v>477679.99999999994</v>
      </c>
      <c r="Q64" s="333">
        <f>Fjernvarme!F20</f>
        <v>486358</v>
      </c>
      <c r="R64" s="333">
        <f>Fjernvarme!G20</f>
        <v>475198.10600000003</v>
      </c>
      <c r="S64" s="333">
        <f>Fjernvarme!H20</f>
        <v>384200</v>
      </c>
      <c r="T64" s="333">
        <f>Fjernvarme!I20</f>
        <v>409300.30000000005</v>
      </c>
      <c r="U64" s="333">
        <f>Fjernvarme!J20</f>
        <v>410880.00000000006</v>
      </c>
      <c r="V64" s="390">
        <f>Fjernvarme!K20</f>
        <v>337930.55799999996</v>
      </c>
      <c r="W64" s="6">
        <f t="shared" ref="W64:W84" si="31">(V64-U64)/U64</f>
        <v>-0.17754439739096595</v>
      </c>
      <c r="X64" s="6">
        <f>U64/$U$84</f>
        <v>0.26097259713243715</v>
      </c>
      <c r="Y64" s="357"/>
    </row>
    <row r="65" spans="3:28" ht="45">
      <c r="C65" s="162" t="s">
        <v>256</v>
      </c>
      <c r="D65" s="468">
        <f t="shared" si="30"/>
        <v>13433.512266283728</v>
      </c>
      <c r="E65" s="270"/>
      <c r="N65" s="187" t="s">
        <v>81</v>
      </c>
      <c r="O65" s="174"/>
      <c r="P65" s="333">
        <v>22179</v>
      </c>
      <c r="Q65" s="333">
        <v>19894</v>
      </c>
      <c r="R65" s="333">
        <f>'Individuel opv.'!E35</f>
        <v>22239.358643502528</v>
      </c>
      <c r="S65" s="333">
        <f>'Individuel opv.'!F35</f>
        <v>17616.210777314962</v>
      </c>
      <c r="T65" s="333">
        <f>'Individuel opv.'!G35</f>
        <v>12246.356594111236</v>
      </c>
      <c r="U65" s="333">
        <f>'Individuel opv.'!H35</f>
        <v>14334.906631721286</v>
      </c>
      <c r="V65" s="428">
        <f>'Individuel opv.'!I35</f>
        <v>13433.512266283728</v>
      </c>
      <c r="W65" s="6">
        <f t="shared" si="31"/>
        <v>-6.2881076842376454E-2</v>
      </c>
      <c r="X65" s="6">
        <f t="shared" ref="X65:X82" si="32">U65/$U$84</f>
        <v>9.1048914849379374E-3</v>
      </c>
    </row>
    <row r="66" spans="3:28" ht="45">
      <c r="C66" s="162" t="s">
        <v>82</v>
      </c>
      <c r="D66" s="468">
        <f t="shared" si="30"/>
        <v>7434</v>
      </c>
      <c r="E66" s="270"/>
      <c r="N66" s="187" t="s">
        <v>82</v>
      </c>
      <c r="O66" s="174"/>
      <c r="P66" s="333">
        <f>'Individuel opv.'!C36</f>
        <v>3132.0000000000005</v>
      </c>
      <c r="Q66" s="333">
        <f>'Individuel opv.'!D36</f>
        <v>2440.6654712008421</v>
      </c>
      <c r="R66" s="333">
        <f>Bygas!F25</f>
        <v>11939.011812000001</v>
      </c>
      <c r="S66" s="333">
        <f>Bygas!G25</f>
        <v>10672</v>
      </c>
      <c r="T66" s="333">
        <f>Bygas!H25</f>
        <v>9622</v>
      </c>
      <c r="U66" s="333">
        <f>Bygas!I25</f>
        <v>8424</v>
      </c>
      <c r="V66" s="428">
        <f>Bygas!J25</f>
        <v>7434</v>
      </c>
      <c r="W66" s="6">
        <f t="shared" si="31"/>
        <v>-0.11752136752136752</v>
      </c>
      <c r="X66" s="6">
        <f t="shared" si="32"/>
        <v>5.3505479902736814E-3</v>
      </c>
    </row>
    <row r="67" spans="3:28" ht="30">
      <c r="C67" s="162" t="s">
        <v>83</v>
      </c>
      <c r="D67" s="469">
        <f t="shared" si="30"/>
        <v>0</v>
      </c>
      <c r="E67" s="270"/>
      <c r="N67" s="187" t="s">
        <v>83</v>
      </c>
      <c r="O67" s="174"/>
      <c r="P67" s="334"/>
      <c r="Q67" s="334"/>
      <c r="R67" s="334">
        <v>0</v>
      </c>
      <c r="S67" s="334">
        <v>0</v>
      </c>
      <c r="T67" s="334">
        <v>0</v>
      </c>
      <c r="U67" s="334">
        <v>0</v>
      </c>
      <c r="V67" s="443">
        <v>0</v>
      </c>
      <c r="W67" s="6"/>
      <c r="X67" s="6">
        <f t="shared" si="32"/>
        <v>0</v>
      </c>
    </row>
    <row r="68" spans="3:28" ht="30">
      <c r="C68" s="162" t="s">
        <v>84</v>
      </c>
      <c r="D68" s="470">
        <f t="shared" si="30"/>
        <v>10584</v>
      </c>
      <c r="E68" s="270"/>
      <c r="N68" s="187" t="s">
        <v>84</v>
      </c>
      <c r="O68" s="174"/>
      <c r="P68" s="333">
        <f>Bygas!D34</f>
        <v>16441.151999999998</v>
      </c>
      <c r="Q68" s="333">
        <f>Bygas!E34</f>
        <v>20597.414528799156</v>
      </c>
      <c r="R68" s="333">
        <f>Bygas!F32</f>
        <v>14957.543328</v>
      </c>
      <c r="S68" s="333">
        <f>Bygas!G32</f>
        <v>13947.200000000004</v>
      </c>
      <c r="T68" s="333">
        <f>Bygas!H32</f>
        <v>13209</v>
      </c>
      <c r="U68" s="333">
        <f>Bygas!I32</f>
        <v>11376</v>
      </c>
      <c r="V68" s="428">
        <f>Bygas!J32</f>
        <v>10584</v>
      </c>
      <c r="W68" s="6">
        <f t="shared" si="31"/>
        <v>-6.9620253164556958E-2</v>
      </c>
      <c r="X68" s="6">
        <f t="shared" si="32"/>
        <v>7.2255263458396723E-3</v>
      </c>
    </row>
    <row r="69" spans="3:28">
      <c r="C69" s="162" t="s">
        <v>118</v>
      </c>
      <c r="D69" s="470">
        <f t="shared" si="30"/>
        <v>361521.0189978712</v>
      </c>
      <c r="E69" s="270"/>
      <c r="N69" s="187" t="s">
        <v>118</v>
      </c>
      <c r="O69" s="174"/>
      <c r="P69" s="333">
        <f>Trafik!E92</f>
        <v>378636.1751589271</v>
      </c>
      <c r="Q69" s="333">
        <f>Trafik!F92</f>
        <v>370096.41987622355</v>
      </c>
      <c r="R69" s="333">
        <f>Trafik!G92</f>
        <v>365585.49732378416</v>
      </c>
      <c r="S69" s="333">
        <f>Trafik!H92</f>
        <v>364924.82038695365</v>
      </c>
      <c r="T69" s="333">
        <f>Trafik!I92</f>
        <v>364495.63077875052</v>
      </c>
      <c r="U69" s="333">
        <f>Trafik!J92</f>
        <v>363455.77370376349</v>
      </c>
      <c r="V69" s="428">
        <f>Trafik!K92</f>
        <v>361521.0189978712</v>
      </c>
      <c r="W69" s="6">
        <f t="shared" si="31"/>
        <v>-5.3232190705800302E-3</v>
      </c>
      <c r="X69" s="6">
        <f t="shared" si="32"/>
        <v>0.23085084989839003</v>
      </c>
    </row>
    <row r="70" spans="3:28" ht="30">
      <c r="C70" s="162" t="s">
        <v>119</v>
      </c>
      <c r="D70" s="470">
        <f t="shared" si="30"/>
        <v>21108.596595193103</v>
      </c>
      <c r="E70" s="270"/>
      <c r="N70" s="187" t="s">
        <v>119</v>
      </c>
      <c r="O70" s="174"/>
      <c r="P70" s="333">
        <f>Trafik!C99</f>
        <v>36688</v>
      </c>
      <c r="Q70" s="333">
        <f>Trafik!D99</f>
        <v>31516.931884550137</v>
      </c>
      <c r="R70" s="333">
        <f>Trafik!E99</f>
        <v>36997.327954070475</v>
      </c>
      <c r="S70" s="333">
        <f>Trafik!F99</f>
        <v>30213.244066966356</v>
      </c>
      <c r="T70" s="333">
        <f>Trafik!G99</f>
        <v>21931.453706591208</v>
      </c>
      <c r="U70" s="333">
        <f>Trafik!H99</f>
        <v>27170.565568424012</v>
      </c>
      <c r="V70" s="444">
        <f>Trafik!I99</f>
        <v>21108.596595193103</v>
      </c>
      <c r="W70" s="6">
        <f t="shared" si="31"/>
        <v>-0.22310794223127112</v>
      </c>
      <c r="X70" s="6">
        <f t="shared" si="32"/>
        <v>1.7257527896098097E-2</v>
      </c>
    </row>
    <row r="71" spans="3:28">
      <c r="C71" s="162" t="s">
        <v>120</v>
      </c>
      <c r="D71" s="470">
        <f t="shared" si="30"/>
        <v>14100</v>
      </c>
      <c r="E71" s="270"/>
      <c r="N71" s="187" t="s">
        <v>120</v>
      </c>
      <c r="O71" s="174"/>
      <c r="P71" s="333">
        <f>Trafik!C100</f>
        <v>15353</v>
      </c>
      <c r="Q71" s="333">
        <f>Trafik!D100</f>
        <v>14579</v>
      </c>
      <c r="R71" s="333">
        <v>13500</v>
      </c>
      <c r="S71" s="333">
        <v>14400</v>
      </c>
      <c r="T71" s="333">
        <v>14200</v>
      </c>
      <c r="U71" s="333">
        <v>13400</v>
      </c>
      <c r="V71" s="390">
        <f>'TIER 1'!F72</f>
        <v>14100</v>
      </c>
      <c r="W71" s="6">
        <f t="shared" si="31"/>
        <v>5.2238805970149252E-2</v>
      </c>
      <c r="X71" s="6">
        <f t="shared" si="32"/>
        <v>8.5110806113090371E-3</v>
      </c>
      <c r="Z71" s="276">
        <f>(V71-R71)*100/R71</f>
        <v>4.4444444444444446</v>
      </c>
    </row>
    <row r="72" spans="3:28">
      <c r="C72" s="162" t="s">
        <v>121</v>
      </c>
      <c r="D72" s="470">
        <f t="shared" si="30"/>
        <v>68600</v>
      </c>
      <c r="E72" s="270"/>
      <c r="N72" s="187" t="s">
        <v>121</v>
      </c>
      <c r="O72" s="174"/>
      <c r="P72" s="333">
        <f>Trafik!C101</f>
        <v>58360</v>
      </c>
      <c r="Q72" s="333">
        <f>Trafik!D101</f>
        <v>35148</v>
      </c>
      <c r="R72" s="333">
        <v>29300</v>
      </c>
      <c r="S72" s="333">
        <v>40300</v>
      </c>
      <c r="T72" s="333">
        <v>37800</v>
      </c>
      <c r="U72" s="333">
        <v>39200</v>
      </c>
      <c r="V72" s="447">
        <f>'TIER 1'!F73</f>
        <v>68600</v>
      </c>
      <c r="W72" s="6">
        <f t="shared" si="31"/>
        <v>0.75</v>
      </c>
      <c r="X72" s="6">
        <f t="shared" si="32"/>
        <v>2.4898086564426436E-2</v>
      </c>
      <c r="Z72" s="276">
        <f>(V72-R72)*100/R72</f>
        <v>134.1296928327645</v>
      </c>
    </row>
    <row r="73" spans="3:28">
      <c r="C73" s="162" t="s">
        <v>122</v>
      </c>
      <c r="D73" s="470">
        <f t="shared" si="30"/>
        <v>0</v>
      </c>
      <c r="E73" s="270"/>
      <c r="N73" s="187" t="s">
        <v>122</v>
      </c>
      <c r="O73" s="174"/>
      <c r="P73" s="333">
        <v>0</v>
      </c>
      <c r="Q73" s="333">
        <v>0</v>
      </c>
      <c r="R73" s="333">
        <v>0</v>
      </c>
      <c r="S73" s="333">
        <v>0</v>
      </c>
      <c r="T73" s="333">
        <v>0</v>
      </c>
      <c r="U73" s="333">
        <v>0</v>
      </c>
      <c r="V73" s="443">
        <v>0</v>
      </c>
      <c r="W73" s="6"/>
      <c r="X73" s="417">
        <f t="shared" si="32"/>
        <v>0</v>
      </c>
    </row>
    <row r="74" spans="3:28">
      <c r="C74" s="162" t="s">
        <v>123</v>
      </c>
      <c r="D74" s="470">
        <f t="shared" si="30"/>
        <v>78300</v>
      </c>
      <c r="E74" s="270"/>
      <c r="N74" s="187" t="s">
        <v>123</v>
      </c>
      <c r="O74" s="174"/>
      <c r="P74" s="333">
        <v>49.024000000000001</v>
      </c>
      <c r="Q74" s="333">
        <v>73839</v>
      </c>
      <c r="R74" s="333">
        <v>47900</v>
      </c>
      <c r="S74" s="333">
        <v>59100</v>
      </c>
      <c r="T74" s="333">
        <v>72300</v>
      </c>
      <c r="U74" s="333">
        <v>70900</v>
      </c>
      <c r="V74" s="390">
        <f>'TIER 1'!G69</f>
        <v>78300</v>
      </c>
      <c r="W74" s="6">
        <f t="shared" si="31"/>
        <v>0.10437235543018336</v>
      </c>
      <c r="X74" s="417">
        <f>U74/$U$84</f>
        <v>4.5032508607597818E-2</v>
      </c>
      <c r="Z74" s="276">
        <f>(V74-R74)*100/R74</f>
        <v>63.465553235908139</v>
      </c>
    </row>
    <row r="75" spans="3:28" ht="30">
      <c r="C75" s="162" t="s">
        <v>124</v>
      </c>
      <c r="D75" s="470">
        <f t="shared" si="30"/>
        <v>0</v>
      </c>
      <c r="E75" s="270"/>
      <c r="N75" s="187" t="s">
        <v>124</v>
      </c>
      <c r="O75" s="174"/>
      <c r="P75" s="333">
        <v>0</v>
      </c>
      <c r="Q75" s="333">
        <v>0</v>
      </c>
      <c r="R75" s="333">
        <v>0</v>
      </c>
      <c r="S75" s="333">
        <v>0</v>
      </c>
      <c r="T75" s="333">
        <v>0</v>
      </c>
      <c r="U75" s="333">
        <v>0</v>
      </c>
      <c r="V75" s="443">
        <v>0</v>
      </c>
      <c r="W75" s="6"/>
      <c r="X75" s="417">
        <f t="shared" si="32"/>
        <v>0</v>
      </c>
    </row>
    <row r="76" spans="3:28" ht="30" customHeight="1">
      <c r="C76" s="162" t="s">
        <v>125</v>
      </c>
      <c r="D76" s="470">
        <f t="shared" si="30"/>
        <v>1581</v>
      </c>
      <c r="E76" s="270"/>
      <c r="N76" s="325" t="s">
        <v>125</v>
      </c>
      <c r="O76" s="174"/>
      <c r="P76" s="333">
        <v>3.3450000000000002</v>
      </c>
      <c r="Q76" s="333">
        <v>5551</v>
      </c>
      <c r="R76" s="333">
        <v>3355</v>
      </c>
      <c r="S76" s="333">
        <v>3370</v>
      </c>
      <c r="T76" s="333">
        <v>3356</v>
      </c>
      <c r="U76" s="333">
        <v>3403</v>
      </c>
      <c r="V76" s="390">
        <v>1581</v>
      </c>
      <c r="W76" s="6">
        <f t="shared" si="31"/>
        <v>-0.53540993241257717</v>
      </c>
      <c r="X76" s="417">
        <f t="shared" si="32"/>
        <v>2.1614333821107952E-3</v>
      </c>
      <c r="Z76" s="276">
        <f>(V76-R76)*100/R76</f>
        <v>-52.876304023845009</v>
      </c>
      <c r="AA76" s="276">
        <f>U63-AA78</f>
        <v>573547.06710424228</v>
      </c>
    </row>
    <row r="77" spans="3:28" ht="30">
      <c r="C77" s="162" t="s">
        <v>126</v>
      </c>
      <c r="D77" s="470">
        <f t="shared" si="30"/>
        <v>2931.72</v>
      </c>
      <c r="E77" s="270"/>
      <c r="N77" s="187" t="s">
        <v>126</v>
      </c>
      <c r="O77" s="174"/>
      <c r="P77" s="333">
        <v>5.0629999999999997</v>
      </c>
      <c r="Q77" s="333">
        <v>3969</v>
      </c>
      <c r="R77" s="333">
        <v>4696</v>
      </c>
      <c r="S77" s="333">
        <v>3733</v>
      </c>
      <c r="T77" s="333">
        <v>3090</v>
      </c>
      <c r="U77" s="333">
        <v>3850</v>
      </c>
      <c r="V77" s="390">
        <f>Procesemissioner!E10</f>
        <v>2931.72</v>
      </c>
      <c r="W77" s="6">
        <f t="shared" si="31"/>
        <v>-0.23851428571428576</v>
      </c>
      <c r="X77" s="417">
        <f t="shared" si="32"/>
        <v>2.4453477875775965E-3</v>
      </c>
    </row>
    <row r="78" spans="3:28">
      <c r="C78" s="161" t="s">
        <v>127</v>
      </c>
      <c r="D78" s="470">
        <f t="shared" si="30"/>
        <v>17400</v>
      </c>
      <c r="E78" s="270"/>
      <c r="N78" s="178" t="s">
        <v>127</v>
      </c>
      <c r="O78" s="173"/>
      <c r="P78" s="333">
        <v>6.1020000000000003</v>
      </c>
      <c r="Q78" s="333">
        <v>15078</v>
      </c>
      <c r="R78" s="333">
        <v>14600</v>
      </c>
      <c r="S78" s="333">
        <f>'TIER 1'!Q11</f>
        <v>19500</v>
      </c>
      <c r="T78" s="333">
        <v>19200</v>
      </c>
      <c r="U78" s="333">
        <v>18000</v>
      </c>
      <c r="V78" s="390">
        <v>17400</v>
      </c>
      <c r="W78" s="6">
        <f t="shared" si="31"/>
        <v>-3.3333333333333333E-2</v>
      </c>
      <c r="X78" s="417">
        <f t="shared" si="32"/>
        <v>1.1432794851012139E-2</v>
      </c>
      <c r="Y78" s="276">
        <f>S83-S84</f>
        <v>143811.14201721502</v>
      </c>
      <c r="Z78" s="276">
        <f>T83-T84</f>
        <v>101539.96744823875</v>
      </c>
      <c r="AA78" s="276">
        <f>U83-U84</f>
        <v>141961.45230418397</v>
      </c>
      <c r="AB78" s="276">
        <f>V83-V84</f>
        <v>109261.45165936602</v>
      </c>
    </row>
    <row r="79" spans="3:28">
      <c r="C79" s="161" t="s">
        <v>128</v>
      </c>
      <c r="D79" s="470">
        <f t="shared" si="30"/>
        <v>-2491.0847999999996</v>
      </c>
      <c r="E79" s="270"/>
      <c r="N79" s="178" t="s">
        <v>128</v>
      </c>
      <c r="O79" s="173"/>
      <c r="P79" s="333">
        <v>0</v>
      </c>
      <c r="Q79" s="333">
        <v>0</v>
      </c>
      <c r="R79" s="333">
        <v>0</v>
      </c>
      <c r="S79" s="333">
        <v>0</v>
      </c>
      <c r="T79" s="333">
        <f>Skov!C14</f>
        <v>-2218.8294000000001</v>
      </c>
      <c r="U79" s="333">
        <f>Skov!C32</f>
        <v>-2315.1383999999998</v>
      </c>
      <c r="V79" s="390">
        <f>Skov!C39</f>
        <v>-2491.0847999999996</v>
      </c>
      <c r="W79" s="6">
        <f t="shared" si="31"/>
        <v>7.5998221099870242E-2</v>
      </c>
      <c r="X79" s="417">
        <f t="shared" si="32"/>
        <v>-1.4704723543833601E-3</v>
      </c>
      <c r="AA79" s="276">
        <f>AA78*100/U63</f>
        <v>19.840637595979427</v>
      </c>
    </row>
    <row r="80" spans="3:28">
      <c r="C80" s="161" t="s">
        <v>129</v>
      </c>
      <c r="D80" s="470">
        <f t="shared" si="30"/>
        <v>7</v>
      </c>
      <c r="E80" s="270"/>
      <c r="N80" s="178" t="s">
        <v>129</v>
      </c>
      <c r="O80" s="173"/>
      <c r="P80" s="333">
        <v>292</v>
      </c>
      <c r="Q80" s="333">
        <v>37</v>
      </c>
      <c r="R80" s="333">
        <v>44</v>
      </c>
      <c r="S80" s="333">
        <v>25</v>
      </c>
      <c r="T80" s="333">
        <v>24</v>
      </c>
      <c r="U80" s="333">
        <v>42</v>
      </c>
      <c r="V80" s="443">
        <v>7</v>
      </c>
      <c r="W80" s="6">
        <f t="shared" si="31"/>
        <v>-0.83333333333333337</v>
      </c>
      <c r="X80" s="417">
        <f t="shared" si="32"/>
        <v>2.6676521319028324E-5</v>
      </c>
    </row>
    <row r="81" spans="3:28">
      <c r="C81" s="161" t="s">
        <v>130</v>
      </c>
      <c r="D81" s="470">
        <f t="shared" si="30"/>
        <v>750</v>
      </c>
      <c r="E81" s="270"/>
      <c r="N81" s="178" t="s">
        <v>130</v>
      </c>
      <c r="O81" s="173"/>
      <c r="P81" s="333">
        <v>830</v>
      </c>
      <c r="Q81" s="333">
        <v>800</v>
      </c>
      <c r="R81" s="333">
        <v>750</v>
      </c>
      <c r="S81" s="333">
        <v>750</v>
      </c>
      <c r="T81" s="333">
        <v>750</v>
      </c>
      <c r="U81" s="333">
        <v>750</v>
      </c>
      <c r="V81" s="443">
        <v>750</v>
      </c>
      <c r="W81" s="6">
        <f t="shared" si="31"/>
        <v>0</v>
      </c>
      <c r="X81" s="417">
        <f t="shared" si="32"/>
        <v>4.763664521255058E-4</v>
      </c>
      <c r="Z81" s="276"/>
    </row>
    <row r="82" spans="3:28" ht="15.75" thickBot="1">
      <c r="C82" s="164" t="s">
        <v>131</v>
      </c>
      <c r="D82" s="471">
        <f t="shared" si="30"/>
        <v>18700</v>
      </c>
      <c r="E82" s="270"/>
      <c r="N82" s="181" t="s">
        <v>131</v>
      </c>
      <c r="O82" s="184"/>
      <c r="P82" s="420">
        <v>15355</v>
      </c>
      <c r="Q82" s="420">
        <f>'TIER 1'!K52</f>
        <v>15600</v>
      </c>
      <c r="R82" s="420">
        <f>'TIER 1'!L52</f>
        <v>14900</v>
      </c>
      <c r="S82" s="420">
        <f>'TIER 1'!M52</f>
        <v>19200</v>
      </c>
      <c r="T82" s="420">
        <f>'TIER 1'!N52</f>
        <v>17600</v>
      </c>
      <c r="U82" s="420">
        <f>'TIER 1'!O52</f>
        <v>18000</v>
      </c>
      <c r="V82" s="442">
        <f>'TIER 1'!F77</f>
        <v>18700</v>
      </c>
      <c r="W82" s="6">
        <f t="shared" si="31"/>
        <v>3.888888888888889E-2</v>
      </c>
      <c r="X82" s="417">
        <f t="shared" si="32"/>
        <v>1.1432794851012139E-2</v>
      </c>
      <c r="Z82" s="276">
        <f>(V82-R82)*100/R82</f>
        <v>25.503355704697988</v>
      </c>
      <c r="AA82" s="188" t="s">
        <v>310</v>
      </c>
      <c r="AB82" s="419">
        <v>602481</v>
      </c>
    </row>
    <row r="83" spans="3:28">
      <c r="C83" s="160" t="s">
        <v>224</v>
      </c>
      <c r="D83" s="467">
        <f>SUM(D63:D82)</f>
        <v>1486147.7844481699</v>
      </c>
      <c r="E83" s="270"/>
      <c r="N83" s="161" t="s">
        <v>224</v>
      </c>
      <c r="O83" s="421">
        <v>2535737</v>
      </c>
      <c r="P83" s="421">
        <f t="shared" ref="P83" si="33">SUM(P63:P82)</f>
        <v>2074842.514897868</v>
      </c>
      <c r="Q83" s="421">
        <f t="shared" ref="Q83:V83" si="34">SUM(Q63:Q82)</f>
        <v>1965131.4904888072</v>
      </c>
      <c r="R83" s="421">
        <f t="shared" si="34"/>
        <v>2035506.160067918</v>
      </c>
      <c r="S83" s="421">
        <f t="shared" si="34"/>
        <v>1788666.4532242734</v>
      </c>
      <c r="T83" s="421">
        <f t="shared" si="34"/>
        <v>1569580.888782559</v>
      </c>
      <c r="U83" s="421">
        <f t="shared" si="34"/>
        <v>1716379.6269123349</v>
      </c>
      <c r="V83" s="482">
        <f t="shared" si="34"/>
        <v>1486147.7844481699</v>
      </c>
      <c r="W83" s="6">
        <f t="shared" si="31"/>
        <v>-0.1341380652940623</v>
      </c>
      <c r="X83" s="411">
        <f>U83-T83</f>
        <v>146798.73812977597</v>
      </c>
      <c r="AA83" s="331">
        <f>U83/AB82</f>
        <v>2.8488527055829724</v>
      </c>
    </row>
    <row r="84" spans="3:28" ht="15.75" thickBot="1">
      <c r="C84" s="164" t="s">
        <v>225</v>
      </c>
      <c r="D84" s="472">
        <f>V84</f>
        <v>1376886.3327888038</v>
      </c>
      <c r="E84" s="270"/>
      <c r="N84" s="164" t="s">
        <v>225</v>
      </c>
      <c r="O84" s="422">
        <v>2358255</v>
      </c>
      <c r="P84" s="422">
        <f>P83-'VE-el'!E23</f>
        <v>1807299.7593769303</v>
      </c>
      <c r="Q84" s="422">
        <f>Q83-'VE-el'!F23</f>
        <v>1807520.5262490371</v>
      </c>
      <c r="R84" s="422">
        <f>R83-'VE-el'!G23</f>
        <v>1879637.8128134729</v>
      </c>
      <c r="S84" s="422">
        <f>S83-'VE-el'!H23</f>
        <v>1644855.3112070584</v>
      </c>
      <c r="T84" s="422">
        <f>T83-'VE-el'!I23</f>
        <v>1468040.9213343202</v>
      </c>
      <c r="U84" s="422">
        <f>U83-'VE-el'!J23</f>
        <v>1574418.174608151</v>
      </c>
      <c r="V84" s="483">
        <f>V83-'VE-el'!K23</f>
        <v>1376886.3327888038</v>
      </c>
      <c r="W84" s="6">
        <f t="shared" si="31"/>
        <v>-0.125463390225732</v>
      </c>
      <c r="X84" s="411">
        <f>U84-T84</f>
        <v>106377.25327383075</v>
      </c>
      <c r="AA84" s="331">
        <f>U84/AB82</f>
        <v>2.6132246072625542</v>
      </c>
    </row>
    <row r="85" spans="3:28">
      <c r="R85" s="276">
        <f>R83-Q83</f>
        <v>70374.669579110807</v>
      </c>
    </row>
    <row r="87" spans="3:28">
      <c r="K87" s="236"/>
      <c r="L87" s="236">
        <v>2005</v>
      </c>
      <c r="M87" s="236">
        <v>2008</v>
      </c>
      <c r="N87" s="236">
        <v>2009</v>
      </c>
      <c r="O87" s="236">
        <v>2010</v>
      </c>
      <c r="P87" s="236">
        <v>2011</v>
      </c>
      <c r="Q87" s="236">
        <v>2012</v>
      </c>
      <c r="R87" s="236">
        <v>2013</v>
      </c>
      <c r="S87" s="236">
        <v>2014</v>
      </c>
      <c r="T87" s="236">
        <v>2015</v>
      </c>
      <c r="U87" s="236">
        <v>2016</v>
      </c>
      <c r="V87" s="236">
        <v>2017</v>
      </c>
    </row>
    <row r="88" spans="3:28">
      <c r="K88" s="237" t="s">
        <v>226</v>
      </c>
      <c r="L88" s="238">
        <f>O84</f>
        <v>2358255</v>
      </c>
      <c r="M88" s="238">
        <v>2460484</v>
      </c>
      <c r="N88" s="238">
        <v>2587200</v>
      </c>
      <c r="O88" s="238">
        <v>2513704</v>
      </c>
      <c r="P88" s="238">
        <f>P84</f>
        <v>1807299.7593769303</v>
      </c>
      <c r="Q88" s="238">
        <f t="shared" ref="Q88:V88" si="35">Q84</f>
        <v>1807520.5262490371</v>
      </c>
      <c r="R88" s="238">
        <f t="shared" si="35"/>
        <v>1879637.8128134729</v>
      </c>
      <c r="S88" s="238">
        <f t="shared" si="35"/>
        <v>1644855.3112070584</v>
      </c>
      <c r="T88" s="238">
        <f t="shared" si="35"/>
        <v>1468040.9213343202</v>
      </c>
      <c r="U88" s="238">
        <f t="shared" si="35"/>
        <v>1574418.174608151</v>
      </c>
      <c r="V88" s="238">
        <f t="shared" si="35"/>
        <v>1376886.3327888038</v>
      </c>
      <c r="X88" s="331">
        <f>(V88-L88)*100/L88</f>
        <v>-41.614187914843647</v>
      </c>
      <c r="Y88" s="331"/>
    </row>
    <row r="89" spans="3:28">
      <c r="L89" s="276"/>
      <c r="X89" s="331"/>
    </row>
    <row r="101" spans="12:12">
      <c r="L101" s="188" t="s">
        <v>227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Y70"/>
  <sheetViews>
    <sheetView topLeftCell="J1" zoomScale="90" zoomScaleNormal="90" workbookViewId="0">
      <selection activeCell="Y25" activeCellId="1" sqref="Y23 Y25"/>
    </sheetView>
  </sheetViews>
  <sheetFormatPr defaultRowHeight="15"/>
  <cols>
    <col min="2" max="2" width="46.42578125" bestFit="1" customWidth="1"/>
    <col min="3" max="3" width="31.42578125" bestFit="1" customWidth="1"/>
    <col min="4" max="4" width="9.140625" customWidth="1"/>
    <col min="5" max="5" width="10" bestFit="1" customWidth="1"/>
    <col min="6" max="9" width="14.7109375" bestFit="1" customWidth="1"/>
    <col min="10" max="10" width="18" customWidth="1"/>
    <col min="11" max="11" width="17.42578125" bestFit="1" customWidth="1"/>
    <col min="12" max="12" width="29.85546875" bestFit="1" customWidth="1"/>
    <col min="13" max="13" width="14.28515625" bestFit="1" customWidth="1"/>
    <col min="14" max="14" width="15.42578125" bestFit="1" customWidth="1"/>
    <col min="15" max="15" width="18.85546875" bestFit="1" customWidth="1"/>
    <col min="16" max="16" width="16.28515625" bestFit="1" customWidth="1"/>
    <col min="17" max="17" width="17.28515625" customWidth="1"/>
    <col min="18" max="18" width="18.7109375" customWidth="1"/>
    <col min="19" max="19" width="18.28515625" customWidth="1"/>
    <col min="20" max="20" width="15.42578125" bestFit="1" customWidth="1"/>
    <col min="21" max="21" width="15.42578125" customWidth="1"/>
    <col min="22" max="22" width="11.28515625" bestFit="1" customWidth="1"/>
    <col min="23" max="23" width="14.7109375" bestFit="1" customWidth="1"/>
    <col min="24" max="24" width="13" bestFit="1" customWidth="1"/>
    <col min="25" max="25" width="25.28515625" customWidth="1"/>
  </cols>
  <sheetData>
    <row r="1" spans="1:25" ht="15.75" thickBot="1"/>
    <row r="2" spans="1:25">
      <c r="B2" s="9" t="s">
        <v>15</v>
      </c>
      <c r="C2" s="93"/>
      <c r="D2" s="93">
        <v>2010</v>
      </c>
      <c r="E2" s="93">
        <v>2011</v>
      </c>
      <c r="F2" s="93">
        <v>2012</v>
      </c>
      <c r="G2" s="93">
        <v>2013</v>
      </c>
      <c r="H2" s="93">
        <v>2014</v>
      </c>
      <c r="I2" s="93">
        <v>2015</v>
      </c>
      <c r="J2" s="93">
        <v>2016</v>
      </c>
      <c r="K2" s="360">
        <v>2017</v>
      </c>
    </row>
    <row r="3" spans="1:25">
      <c r="B3" s="30"/>
      <c r="C3" s="43"/>
      <c r="D3" s="43"/>
      <c r="E3" s="43"/>
      <c r="F3" s="43"/>
      <c r="G3" s="43"/>
      <c r="H3" s="43"/>
      <c r="I3" s="43"/>
      <c r="J3" s="43"/>
      <c r="K3" s="361"/>
    </row>
    <row r="4" spans="1:25" ht="15.75" thickBot="1">
      <c r="B4" s="19" t="s">
        <v>14</v>
      </c>
      <c r="C4" s="94"/>
      <c r="D4" s="239">
        <f>Forudsætninger!D13</f>
        <v>502.12972681510666</v>
      </c>
      <c r="E4" s="239">
        <f>Forudsætninger!E13</f>
        <v>426.19661746448139</v>
      </c>
      <c r="F4" s="240">
        <f>Forudsætninger!F13</f>
        <v>358.64091797933901</v>
      </c>
      <c r="G4" s="240">
        <f>Forudsætninger!G13</f>
        <v>428.20295738038072</v>
      </c>
      <c r="H4" s="240">
        <f>Forudsætninger!H13</f>
        <v>345.87066661739544</v>
      </c>
      <c r="I4" s="240">
        <f>Forudsætninger!I13</f>
        <v>245.58627845287194</v>
      </c>
      <c r="J4" s="240">
        <f>Forudsætninger!J13</f>
        <v>301.66414963680711</v>
      </c>
      <c r="K4" s="362">
        <f>Forudsætninger!K13</f>
        <v>228.65852084850107</v>
      </c>
      <c r="L4" s="188"/>
    </row>
    <row r="5" spans="1:25">
      <c r="I5" s="188"/>
    </row>
    <row r="6" spans="1:25" ht="21.75" thickBot="1">
      <c r="B6" s="131" t="s">
        <v>3</v>
      </c>
      <c r="I6" s="188"/>
      <c r="S6" s="188"/>
    </row>
    <row r="7" spans="1:25" s="27" customFormat="1">
      <c r="B7" s="102" t="s">
        <v>4</v>
      </c>
      <c r="C7" s="93" t="s">
        <v>5</v>
      </c>
      <c r="D7" s="93"/>
      <c r="E7" s="93"/>
      <c r="F7" s="93"/>
      <c r="G7" s="93"/>
      <c r="H7" s="93"/>
      <c r="I7" s="93"/>
      <c r="J7" s="93"/>
      <c r="K7" s="360"/>
      <c r="M7" s="102" t="s">
        <v>11</v>
      </c>
      <c r="N7" s="93">
        <v>2010</v>
      </c>
      <c r="O7" s="93">
        <v>2011</v>
      </c>
      <c r="P7" s="93">
        <v>2012</v>
      </c>
      <c r="Q7" s="93">
        <v>2013</v>
      </c>
      <c r="R7" s="93">
        <v>2014</v>
      </c>
      <c r="S7" s="93">
        <v>2015</v>
      </c>
      <c r="T7" s="93">
        <v>2016</v>
      </c>
      <c r="U7" s="360">
        <v>2017</v>
      </c>
      <c r="W7" s="412"/>
      <c r="X7" s="412" t="s">
        <v>311</v>
      </c>
      <c r="Y7" s="496" t="s">
        <v>322</v>
      </c>
    </row>
    <row r="8" spans="1:25" s="27" customFormat="1">
      <c r="B8" s="121"/>
      <c r="C8" s="43"/>
      <c r="D8" s="43"/>
      <c r="E8" s="43">
        <v>2011</v>
      </c>
      <c r="F8" s="43">
        <v>2012</v>
      </c>
      <c r="G8" s="43">
        <v>2013</v>
      </c>
      <c r="H8" s="43">
        <v>2014</v>
      </c>
      <c r="I8" s="43">
        <v>2015</v>
      </c>
      <c r="J8" s="43">
        <v>2016</v>
      </c>
      <c r="K8" s="361">
        <v>2017</v>
      </c>
      <c r="M8" s="123" t="s">
        <v>6</v>
      </c>
      <c r="N8" s="124">
        <v>646857000</v>
      </c>
      <c r="O8" s="124">
        <v>596550000</v>
      </c>
      <c r="P8" s="124">
        <f>SUMIFS(F$9:F$42,$C$9:$C$42,$M8)</f>
        <v>495551412.79539907</v>
      </c>
      <c r="Q8" s="124">
        <f>SUMIFS(G$9:G$42,$C$9:$C$42,$M8)</f>
        <v>482976177</v>
      </c>
      <c r="R8" s="124">
        <f>SUMIFS(H$9:H$42,$C$9:$C$42,$M8)</f>
        <v>486587027.47450745</v>
      </c>
      <c r="S8" s="450">
        <f>SUMIFS(I$9:I$42,$C$9:$C$42,$M8)</f>
        <v>468064500.4436301</v>
      </c>
      <c r="T8" s="124">
        <f>J43-J10-J13-J14-J41+J42</f>
        <v>2371871235.8424859</v>
      </c>
      <c r="U8" s="461">
        <f>K43-K10-K13-K14-K41+K42</f>
        <v>2336486134.0233941</v>
      </c>
      <c r="W8" s="413">
        <f t="shared" ref="W8:W13" si="0">S8/$S$17</f>
        <v>0.20072505930210707</v>
      </c>
      <c r="X8" s="414">
        <f>W8*$T$17</f>
        <v>476093994.47144496</v>
      </c>
      <c r="Y8" s="414">
        <f>W8*$U$17</f>
        <v>468991317.81039667</v>
      </c>
    </row>
    <row r="9" spans="1:25">
      <c r="A9" s="30">
        <v>111</v>
      </c>
      <c r="B9" s="30" t="s">
        <v>161</v>
      </c>
      <c r="C9" s="31" t="s">
        <v>8</v>
      </c>
      <c r="D9" s="31"/>
      <c r="E9" s="31"/>
      <c r="F9" s="32">
        <v>430014601.85267884</v>
      </c>
      <c r="G9" s="32">
        <v>408359000</v>
      </c>
      <c r="H9" s="32">
        <v>413726000</v>
      </c>
      <c r="I9" s="358">
        <v>414038600</v>
      </c>
      <c r="J9" s="32"/>
      <c r="K9" s="363"/>
      <c r="M9" s="30" t="s">
        <v>7</v>
      </c>
      <c r="N9" s="32">
        <v>914059000</v>
      </c>
      <c r="O9" s="32">
        <v>912961000</v>
      </c>
      <c r="P9" s="32">
        <f t="shared" ref="P9:U15" si="1">SUMIFS(F$9:F$41,$C$9:$C$41,$M9)</f>
        <v>976955502.43192148</v>
      </c>
      <c r="Q9" s="32">
        <f t="shared" si="1"/>
        <v>945429000</v>
      </c>
      <c r="R9" s="32">
        <f t="shared" si="1"/>
        <v>940328000</v>
      </c>
      <c r="S9" s="448">
        <f t="shared" si="1"/>
        <v>925439767</v>
      </c>
      <c r="T9" s="32">
        <f t="shared" si="1"/>
        <v>0</v>
      </c>
      <c r="U9" s="363">
        <f t="shared" si="1"/>
        <v>0</v>
      </c>
      <c r="V9" s="27"/>
      <c r="W9" s="413">
        <f t="shared" si="0"/>
        <v>0.39686614117400781</v>
      </c>
      <c r="X9" s="414">
        <f t="shared" ref="X9:X13" si="2">W9*$T$17</f>
        <v>941315384.73043239</v>
      </c>
      <c r="Y9" s="414">
        <f t="shared" ref="Y9:Y13" si="3">W9*$U$17</f>
        <v>927272235.91644001</v>
      </c>
    </row>
    <row r="10" spans="1:25">
      <c r="A10" s="30">
        <v>112</v>
      </c>
      <c r="B10" s="30" t="s">
        <v>162</v>
      </c>
      <c r="C10" s="31" t="s">
        <v>12</v>
      </c>
      <c r="D10" s="31"/>
      <c r="E10" s="31"/>
      <c r="F10" s="32">
        <v>5056258.9662177749</v>
      </c>
      <c r="G10" s="32">
        <v>4982000</v>
      </c>
      <c r="H10" s="32">
        <v>4859000</v>
      </c>
      <c r="I10" s="455">
        <v>5193104</v>
      </c>
      <c r="J10" s="456">
        <v>5193104</v>
      </c>
      <c r="K10" s="457">
        <v>5193104</v>
      </c>
      <c r="L10" t="s">
        <v>265</v>
      </c>
      <c r="M10" s="30" t="s">
        <v>8</v>
      </c>
      <c r="N10" s="32">
        <v>701920000</v>
      </c>
      <c r="O10" s="32">
        <v>695273000</v>
      </c>
      <c r="P10" s="32">
        <f t="shared" si="1"/>
        <v>693419422.26858521</v>
      </c>
      <c r="Q10" s="32">
        <f t="shared" si="1"/>
        <v>656755000</v>
      </c>
      <c r="R10" s="32">
        <f t="shared" si="1"/>
        <v>663253000</v>
      </c>
      <c r="S10" s="358">
        <f t="shared" si="1"/>
        <v>662541962</v>
      </c>
      <c r="T10" s="32">
        <f t="shared" si="1"/>
        <v>0</v>
      </c>
      <c r="U10" s="363">
        <f t="shared" si="1"/>
        <v>0</v>
      </c>
      <c r="V10" s="27"/>
      <c r="W10" s="413">
        <f t="shared" si="0"/>
        <v>0.28412488981013945</v>
      </c>
      <c r="X10" s="414">
        <f t="shared" si="2"/>
        <v>673907653.52758563</v>
      </c>
      <c r="Y10" s="414">
        <f t="shared" si="3"/>
        <v>663853865.37231553</v>
      </c>
    </row>
    <row r="11" spans="1:25">
      <c r="A11" s="30">
        <v>119</v>
      </c>
      <c r="B11" s="30" t="s">
        <v>163</v>
      </c>
      <c r="C11" s="31" t="s">
        <v>8</v>
      </c>
      <c r="D11" s="31"/>
      <c r="E11" s="31"/>
      <c r="F11" s="32">
        <v>170982300.93486553</v>
      </c>
      <c r="G11" s="32">
        <v>160910000</v>
      </c>
      <c r="H11" s="32">
        <v>160629000</v>
      </c>
      <c r="I11" s="358">
        <v>158557067</v>
      </c>
      <c r="J11" s="32"/>
      <c r="K11" s="363"/>
      <c r="M11" s="30" t="s">
        <v>2</v>
      </c>
      <c r="N11" s="32">
        <v>210722000</v>
      </c>
      <c r="O11" s="32">
        <v>220731000</v>
      </c>
      <c r="P11" s="32">
        <f t="shared" si="1"/>
        <v>216362407.7597141</v>
      </c>
      <c r="Q11" s="32">
        <f t="shared" si="1"/>
        <v>152144000</v>
      </c>
      <c r="R11" s="32">
        <f t="shared" si="1"/>
        <v>179228000</v>
      </c>
      <c r="S11" s="451">
        <f t="shared" si="1"/>
        <v>200708656</v>
      </c>
      <c r="T11" s="32">
        <f t="shared" si="1"/>
        <v>0</v>
      </c>
      <c r="U11" s="363">
        <f t="shared" si="1"/>
        <v>0</v>
      </c>
      <c r="V11" s="27"/>
      <c r="W11" s="413">
        <f t="shared" si="0"/>
        <v>8.6072019646570228E-2</v>
      </c>
      <c r="X11" s="414">
        <f t="shared" si="2"/>
        <v>204151747.61056924</v>
      </c>
      <c r="Y11" s="414">
        <f t="shared" si="3"/>
        <v>201106080.43160048</v>
      </c>
    </row>
    <row r="12" spans="1:25">
      <c r="A12" s="30">
        <v>121</v>
      </c>
      <c r="B12" s="30" t="s">
        <v>164</v>
      </c>
      <c r="C12" s="31" t="s">
        <v>8</v>
      </c>
      <c r="D12" s="31"/>
      <c r="E12" s="31"/>
      <c r="F12" s="32">
        <v>88567653.160099044</v>
      </c>
      <c r="G12" s="32">
        <v>83606000</v>
      </c>
      <c r="H12" s="32">
        <v>84087000</v>
      </c>
      <c r="I12" s="358">
        <v>84913643</v>
      </c>
      <c r="J12" s="32"/>
      <c r="K12" s="363"/>
      <c r="M12" s="30" t="s">
        <v>9</v>
      </c>
      <c r="N12" s="32">
        <v>207000</v>
      </c>
      <c r="O12" s="32">
        <v>149000</v>
      </c>
      <c r="P12" s="32">
        <f t="shared" si="1"/>
        <v>133431.94590735721</v>
      </c>
      <c r="Q12" s="32">
        <f t="shared" si="1"/>
        <v>130000</v>
      </c>
      <c r="R12" s="32">
        <f t="shared" si="1"/>
        <v>195000</v>
      </c>
      <c r="S12" s="452">
        <f t="shared" si="1"/>
        <v>177133</v>
      </c>
      <c r="T12" s="32">
        <f t="shared" si="1"/>
        <v>0</v>
      </c>
      <c r="U12" s="363">
        <f t="shared" si="1"/>
        <v>0</v>
      </c>
      <c r="V12" s="27"/>
      <c r="W12" s="413">
        <f t="shared" si="0"/>
        <v>7.5961821278181055E-5</v>
      </c>
      <c r="X12" s="414">
        <f t="shared" si="2"/>
        <v>180171.65891192533</v>
      </c>
      <c r="Y12" s="414">
        <f t="shared" si="3"/>
        <v>177483.74213163325</v>
      </c>
    </row>
    <row r="13" spans="1:25">
      <c r="A13" s="30">
        <v>122</v>
      </c>
      <c r="B13" s="30" t="s">
        <v>165</v>
      </c>
      <c r="C13" s="31" t="s">
        <v>12</v>
      </c>
      <c r="D13" s="31"/>
      <c r="E13" s="31"/>
      <c r="F13" s="32">
        <v>6365740.3933609901</v>
      </c>
      <c r="G13" s="32">
        <v>6502000</v>
      </c>
      <c r="H13" s="32">
        <v>6377000</v>
      </c>
      <c r="I13" s="455">
        <v>6461247</v>
      </c>
      <c r="J13" s="456">
        <v>6461247</v>
      </c>
      <c r="K13" s="457">
        <v>6461247</v>
      </c>
      <c r="L13" t="s">
        <v>265</v>
      </c>
      <c r="M13" s="125" t="s">
        <v>10</v>
      </c>
      <c r="N13" s="126">
        <v>35980000</v>
      </c>
      <c r="O13" s="126">
        <v>37595000</v>
      </c>
      <c r="P13" s="126">
        <f t="shared" si="1"/>
        <v>42362656.68664632</v>
      </c>
      <c r="Q13" s="126">
        <f t="shared" si="1"/>
        <v>50136000</v>
      </c>
      <c r="R13" s="126">
        <f t="shared" si="1"/>
        <v>62827000</v>
      </c>
      <c r="S13" s="454">
        <f t="shared" si="1"/>
        <v>74936768</v>
      </c>
      <c r="T13" s="126">
        <f t="shared" si="1"/>
        <v>0</v>
      </c>
      <c r="U13" s="365">
        <f t="shared" si="1"/>
        <v>0</v>
      </c>
      <c r="V13" s="27"/>
      <c r="W13" s="413">
        <f t="shared" si="0"/>
        <v>3.2135928245897248E-2</v>
      </c>
      <c r="X13" s="414">
        <f t="shared" si="2"/>
        <v>76222283.843541756</v>
      </c>
      <c r="Y13" s="414">
        <f t="shared" si="3"/>
        <v>75085150.75050965</v>
      </c>
    </row>
    <row r="14" spans="1:25">
      <c r="A14" s="30">
        <v>123</v>
      </c>
      <c r="B14" s="30" t="s">
        <v>166</v>
      </c>
      <c r="C14" s="31" t="s">
        <v>12</v>
      </c>
      <c r="D14" s="31"/>
      <c r="E14" s="31"/>
      <c r="F14" s="32">
        <v>30144.991427114277</v>
      </c>
      <c r="G14" s="32">
        <v>90000</v>
      </c>
      <c r="H14" s="32">
        <v>102000</v>
      </c>
      <c r="I14" s="455">
        <v>139533</v>
      </c>
      <c r="J14" s="456">
        <v>139533</v>
      </c>
      <c r="K14" s="457">
        <v>139533</v>
      </c>
      <c r="L14" t="s">
        <v>265</v>
      </c>
      <c r="M14" s="458" t="s">
        <v>13</v>
      </c>
      <c r="N14" s="459">
        <f>SUMIFS(D$9:D$41,$C$9:$C$41,$M14)</f>
        <v>0</v>
      </c>
      <c r="O14" s="459">
        <v>0</v>
      </c>
      <c r="P14" s="459">
        <f t="shared" si="1"/>
        <v>96890420.32424666</v>
      </c>
      <c r="Q14" s="459">
        <f t="shared" si="1"/>
        <v>93998000</v>
      </c>
      <c r="R14" s="459">
        <f t="shared" si="1"/>
        <v>92856000</v>
      </c>
      <c r="S14" s="459">
        <f t="shared" si="1"/>
        <v>93558197</v>
      </c>
      <c r="T14" s="459">
        <f t="shared" si="1"/>
        <v>93558197</v>
      </c>
      <c r="U14" s="460">
        <f t="shared" si="1"/>
        <v>93558197</v>
      </c>
      <c r="W14" s="415"/>
      <c r="X14" s="416">
        <f>T14</f>
        <v>93558197</v>
      </c>
      <c r="Y14" s="416">
        <f>U14</f>
        <v>93558197</v>
      </c>
    </row>
    <row r="15" spans="1:25">
      <c r="A15" s="30">
        <v>130</v>
      </c>
      <c r="B15" s="30" t="s">
        <v>167</v>
      </c>
      <c r="C15" s="31" t="s">
        <v>8</v>
      </c>
      <c r="D15" s="31"/>
      <c r="E15" s="31"/>
      <c r="F15" s="32">
        <v>3854866.3209418259</v>
      </c>
      <c r="G15" s="32">
        <v>3880000</v>
      </c>
      <c r="H15" s="32">
        <v>4811000</v>
      </c>
      <c r="I15" s="358">
        <v>5032652</v>
      </c>
      <c r="J15" s="32"/>
      <c r="K15" s="363"/>
      <c r="M15" s="458" t="s">
        <v>12</v>
      </c>
      <c r="N15" s="459">
        <f>SUMIFS(D$9:D$41,$C$9:$C$41,$M15)</f>
        <v>0</v>
      </c>
      <c r="O15" s="459">
        <v>11534000</v>
      </c>
      <c r="P15" s="459">
        <f t="shared" si="1"/>
        <v>11452144.35100588</v>
      </c>
      <c r="Q15" s="459">
        <f t="shared" si="1"/>
        <v>11574000</v>
      </c>
      <c r="R15" s="459">
        <f t="shared" si="1"/>
        <v>11338000</v>
      </c>
      <c r="S15" s="459">
        <f t="shared" si="1"/>
        <v>11793884</v>
      </c>
      <c r="T15" s="459">
        <f t="shared" si="1"/>
        <v>11793884</v>
      </c>
      <c r="U15" s="460">
        <f t="shared" si="1"/>
        <v>11793884</v>
      </c>
      <c r="V15" s="301">
        <f>11793884</f>
        <v>11793884</v>
      </c>
      <c r="W15" s="415"/>
      <c r="X15" s="416">
        <f>T15</f>
        <v>11793884</v>
      </c>
      <c r="Y15" s="416">
        <f>U15</f>
        <v>11793884</v>
      </c>
    </row>
    <row r="16" spans="1:25">
      <c r="A16" s="30">
        <v>211</v>
      </c>
      <c r="B16" s="30" t="s">
        <v>168</v>
      </c>
      <c r="C16" s="31" t="s">
        <v>9</v>
      </c>
      <c r="D16" s="31"/>
      <c r="E16" s="31"/>
      <c r="F16" s="32">
        <v>102459.08589731908</v>
      </c>
      <c r="G16" s="32">
        <v>95000</v>
      </c>
      <c r="H16" s="32">
        <v>96000</v>
      </c>
      <c r="I16" s="452">
        <v>72011</v>
      </c>
      <c r="J16" s="32"/>
      <c r="K16" s="363"/>
      <c r="M16" s="297"/>
      <c r="N16" s="298"/>
      <c r="O16" s="298"/>
      <c r="P16" s="298"/>
      <c r="Q16" s="298"/>
      <c r="R16" s="298"/>
      <c r="S16" s="298"/>
      <c r="T16" s="298"/>
      <c r="U16" s="367"/>
    </row>
    <row r="17" spans="1:25" ht="15.75" thickBot="1">
      <c r="A17" s="30">
        <v>220</v>
      </c>
      <c r="B17" s="30" t="s">
        <v>169</v>
      </c>
      <c r="C17" s="31" t="s">
        <v>9</v>
      </c>
      <c r="D17" s="31"/>
      <c r="E17" s="31"/>
      <c r="F17" s="32">
        <v>30972.860010038123</v>
      </c>
      <c r="G17" s="32">
        <v>35000</v>
      </c>
      <c r="H17" s="32">
        <v>99000</v>
      </c>
      <c r="I17" s="452">
        <v>105122</v>
      </c>
      <c r="J17" s="32"/>
      <c r="K17" s="363"/>
      <c r="M17" s="134" t="s">
        <v>96</v>
      </c>
      <c r="N17" s="135">
        <f t="shared" ref="N17:R17" si="4">SUM(N8:N13)</f>
        <v>2509745000</v>
      </c>
      <c r="O17" s="135">
        <f t="shared" si="4"/>
        <v>2463259000</v>
      </c>
      <c r="P17" s="135">
        <f t="shared" si="4"/>
        <v>2424784833.8881741</v>
      </c>
      <c r="Q17" s="135">
        <f t="shared" si="4"/>
        <v>2287570177</v>
      </c>
      <c r="R17" s="135">
        <f t="shared" si="4"/>
        <v>2332418027.4745073</v>
      </c>
      <c r="S17" s="135">
        <f>SUM(S8:S13)</f>
        <v>2331868786.4436302</v>
      </c>
      <c r="T17" s="135">
        <f>SUM(T8:T13)</f>
        <v>2371871235.8424859</v>
      </c>
      <c r="U17" s="368">
        <f>SUM(U8:U13)</f>
        <v>2336486134.0233941</v>
      </c>
      <c r="V17" s="103">
        <f>(T17-S17)*100/S17</f>
        <v>1.7154674238709653</v>
      </c>
      <c r="W17" s="103">
        <f>(U17-T17)*100/T17</f>
        <v>-1.4918643678615653</v>
      </c>
      <c r="X17" s="171"/>
    </row>
    <row r="18" spans="1:25" ht="15.75" thickBot="1">
      <c r="A18" s="30">
        <v>310</v>
      </c>
      <c r="B18" s="30" t="s">
        <v>170</v>
      </c>
      <c r="C18" s="31" t="s">
        <v>2</v>
      </c>
      <c r="D18" s="31"/>
      <c r="E18" s="31"/>
      <c r="F18" s="32">
        <v>24194898.95037635</v>
      </c>
      <c r="G18" s="32">
        <v>22834000</v>
      </c>
      <c r="H18" s="32">
        <v>21114000</v>
      </c>
      <c r="I18" s="451">
        <v>14739005</v>
      </c>
      <c r="J18" s="32"/>
      <c r="K18" s="363"/>
      <c r="U18" s="188"/>
      <c r="X18" s="171"/>
    </row>
    <row r="19" spans="1:25">
      <c r="A19" s="30">
        <v>320</v>
      </c>
      <c r="B19" s="30" t="s">
        <v>189</v>
      </c>
      <c r="C19" s="31" t="s">
        <v>2</v>
      </c>
      <c r="D19" s="31"/>
      <c r="E19" s="31"/>
      <c r="F19" s="32">
        <v>3075952.1344355443</v>
      </c>
      <c r="G19" s="32">
        <v>1910000</v>
      </c>
      <c r="H19" s="32">
        <v>1910000</v>
      </c>
      <c r="I19" s="451">
        <v>1991621</v>
      </c>
      <c r="J19" s="32"/>
      <c r="K19" s="363"/>
      <c r="M19" s="102" t="s">
        <v>16</v>
      </c>
      <c r="N19" s="93">
        <v>2010</v>
      </c>
      <c r="O19" s="93">
        <v>2011</v>
      </c>
      <c r="P19" s="93">
        <f t="shared" ref="P19:U19" si="5">P7</f>
        <v>2012</v>
      </c>
      <c r="Q19" s="93">
        <f t="shared" si="5"/>
        <v>2013</v>
      </c>
      <c r="R19" s="93">
        <f t="shared" si="5"/>
        <v>2014</v>
      </c>
      <c r="S19" s="93">
        <f t="shared" si="5"/>
        <v>2015</v>
      </c>
      <c r="T19" s="93">
        <f t="shared" si="5"/>
        <v>2016</v>
      </c>
      <c r="U19" s="360">
        <f t="shared" si="5"/>
        <v>2017</v>
      </c>
    </row>
    <row r="20" spans="1:25">
      <c r="A20" s="30">
        <v>330</v>
      </c>
      <c r="B20" s="30" t="s">
        <v>171</v>
      </c>
      <c r="C20" s="31" t="s">
        <v>2</v>
      </c>
      <c r="D20" s="31"/>
      <c r="E20" s="31"/>
      <c r="F20" s="32">
        <v>474503.36041493725</v>
      </c>
      <c r="G20" s="32">
        <v>517000</v>
      </c>
      <c r="H20" s="32">
        <v>649000</v>
      </c>
      <c r="I20" s="451">
        <v>639104</v>
      </c>
      <c r="J20" s="32"/>
      <c r="K20" s="363"/>
      <c r="M20" s="123" t="s">
        <v>6</v>
      </c>
      <c r="N20" s="124">
        <f t="shared" ref="N20:N28" si="6">N8*D$4/10^6</f>
        <v>324806.12869843945</v>
      </c>
      <c r="O20" s="124">
        <f t="shared" ref="O20:O28" si="7">O8*E$4/10^6</f>
        <v>254247.59214843638</v>
      </c>
      <c r="P20" s="124">
        <f t="shared" ref="P20:P28" si="8">P8*F$4/10^6</f>
        <v>177725.01359090029</v>
      </c>
      <c r="Q20" s="124">
        <f t="shared" ref="Q20:Q28" si="9">Q8*G$4/10^6</f>
        <v>206811.82733567024</v>
      </c>
      <c r="R20" s="124">
        <f t="shared" ref="R20:R28" si="10">R8*H$4/10^6</f>
        <v>168296.1795599848</v>
      </c>
      <c r="S20" s="124">
        <f t="shared" ref="S20:S28" si="11">S8*I$4/10^6</f>
        <v>114950.21873985375</v>
      </c>
      <c r="T20" s="124">
        <f>T8*J$4/10^6</f>
        <v>715508.51940842625</v>
      </c>
      <c r="U20" s="364">
        <f>U8*K$4/10^6</f>
        <v>534257.46338882193</v>
      </c>
      <c r="X20" s="171"/>
      <c r="Y20" s="356">
        <f>Y8*$K$4/1000000</f>
        <v>107238.86102131457</v>
      </c>
    </row>
    <row r="21" spans="1:25">
      <c r="A21" s="30">
        <v>340</v>
      </c>
      <c r="B21" s="30" t="s">
        <v>172</v>
      </c>
      <c r="C21" s="31" t="s">
        <v>2</v>
      </c>
      <c r="D21" s="31"/>
      <c r="E21" s="31"/>
      <c r="F21" s="32">
        <v>23851946.467680126</v>
      </c>
      <c r="G21" s="32">
        <v>22462000</v>
      </c>
      <c r="H21" s="32">
        <v>21342000</v>
      </c>
      <c r="I21" s="451">
        <v>20963131</v>
      </c>
      <c r="J21" s="32"/>
      <c r="K21" s="363"/>
      <c r="M21" s="30" t="s">
        <v>7</v>
      </c>
      <c r="N21" s="32">
        <f t="shared" si="6"/>
        <v>458976.19596288959</v>
      </c>
      <c r="O21" s="32">
        <f t="shared" si="7"/>
        <v>389100.89007699041</v>
      </c>
      <c r="P21" s="32">
        <f t="shared" si="8"/>
        <v>350376.21821715072</v>
      </c>
      <c r="Q21" s="32">
        <f t="shared" si="9"/>
        <v>404835.49379317596</v>
      </c>
      <c r="R21" s="32">
        <f t="shared" si="10"/>
        <v>325231.87219900219</v>
      </c>
      <c r="S21" s="32">
        <f t="shared" si="11"/>
        <v>227275.30830982293</v>
      </c>
      <c r="T21" s="32">
        <f t="shared" ref="T21:U28" si="12">T9*J$4/10^6</f>
        <v>0</v>
      </c>
      <c r="U21" s="363">
        <f t="shared" si="12"/>
        <v>0</v>
      </c>
      <c r="Y21" s="356">
        <f t="shared" ref="Y21:Y24" si="13">Y9*$K$4/1000000</f>
        <v>212028.69788853551</v>
      </c>
    </row>
    <row r="22" spans="1:25">
      <c r="A22" s="30">
        <v>350</v>
      </c>
      <c r="B22" s="30" t="s">
        <v>173</v>
      </c>
      <c r="C22" s="31" t="s">
        <v>2</v>
      </c>
      <c r="D22" s="31"/>
      <c r="E22" s="31"/>
      <c r="F22" s="32">
        <v>126859318.27938074</v>
      </c>
      <c r="G22" s="32">
        <v>35946000</v>
      </c>
      <c r="H22" s="32">
        <v>74088000</v>
      </c>
      <c r="I22" s="451">
        <v>127968777</v>
      </c>
      <c r="J22" s="32"/>
      <c r="K22" s="363"/>
      <c r="M22" s="30" t="s">
        <v>8</v>
      </c>
      <c r="N22" s="32">
        <f t="shared" si="6"/>
        <v>352454.8978460597</v>
      </c>
      <c r="O22" s="32">
        <f t="shared" si="7"/>
        <v>296323.00081438239</v>
      </c>
      <c r="P22" s="32">
        <f t="shared" si="8"/>
        <v>248688.57814710832</v>
      </c>
      <c r="Q22" s="32">
        <f t="shared" si="9"/>
        <v>281224.43327435193</v>
      </c>
      <c r="R22" s="32">
        <f t="shared" si="10"/>
        <v>229399.75724598736</v>
      </c>
      <c r="S22" s="32">
        <f t="shared" si="11"/>
        <v>162711.21476644409</v>
      </c>
      <c r="T22" s="32">
        <f t="shared" si="12"/>
        <v>0</v>
      </c>
      <c r="U22" s="363">
        <f t="shared" si="12"/>
        <v>0</v>
      </c>
      <c r="Y22" s="356">
        <f t="shared" si="13"/>
        <v>151795.84291559362</v>
      </c>
    </row>
    <row r="23" spans="1:25">
      <c r="A23" s="30">
        <v>360</v>
      </c>
      <c r="B23" s="30" t="s">
        <v>174</v>
      </c>
      <c r="C23" s="31" t="s">
        <v>2</v>
      </c>
      <c r="D23" s="31"/>
      <c r="E23" s="31"/>
      <c r="F23" s="32">
        <v>761179.01278739679</v>
      </c>
      <c r="G23" s="32">
        <v>577000</v>
      </c>
      <c r="H23" s="32">
        <v>494000</v>
      </c>
      <c r="I23" s="451">
        <v>467217</v>
      </c>
      <c r="J23" s="32"/>
      <c r="K23" s="363"/>
      <c r="M23" s="30" t="s">
        <v>2</v>
      </c>
      <c r="N23" s="32">
        <f t="shared" si="6"/>
        <v>105809.78029393291</v>
      </c>
      <c r="O23" s="32">
        <f t="shared" si="7"/>
        <v>94074.805569552438</v>
      </c>
      <c r="P23" s="32">
        <f t="shared" si="8"/>
        <v>77596.412535163923</v>
      </c>
      <c r="Q23" s="32">
        <f t="shared" si="9"/>
        <v>65148.510747680644</v>
      </c>
      <c r="R23" s="32">
        <f t="shared" si="10"/>
        <v>61989.707836502552</v>
      </c>
      <c r="S23" s="32">
        <f t="shared" si="11"/>
        <v>49291.291880317687</v>
      </c>
      <c r="T23" s="32">
        <f t="shared" si="12"/>
        <v>0</v>
      </c>
      <c r="U23" s="363">
        <f t="shared" si="12"/>
        <v>0</v>
      </c>
      <c r="Y23" s="356">
        <f t="shared" si="13"/>
        <v>45984.61888512945</v>
      </c>
    </row>
    <row r="24" spans="1:25">
      <c r="A24" s="30">
        <v>370</v>
      </c>
      <c r="B24" s="30" t="s">
        <v>175</v>
      </c>
      <c r="C24" s="31" t="s">
        <v>2</v>
      </c>
      <c r="D24" s="31"/>
      <c r="E24" s="31"/>
      <c r="F24" s="32">
        <v>64322.665072277479</v>
      </c>
      <c r="G24" s="32">
        <v>44000</v>
      </c>
      <c r="H24" s="32">
        <v>40000</v>
      </c>
      <c r="I24" s="451">
        <v>35590</v>
      </c>
      <c r="J24" s="32"/>
      <c r="K24" s="363"/>
      <c r="M24" s="30" t="s">
        <v>9</v>
      </c>
      <c r="N24" s="32">
        <f t="shared" si="6"/>
        <v>103.94085345072708</v>
      </c>
      <c r="O24" s="32">
        <f t="shared" si="7"/>
        <v>63.503296002207726</v>
      </c>
      <c r="P24" s="32">
        <f t="shared" si="8"/>
        <v>47.854155567984094</v>
      </c>
      <c r="Q24" s="32">
        <f t="shared" si="9"/>
        <v>55.666384459449489</v>
      </c>
      <c r="R24" s="32">
        <f t="shared" si="10"/>
        <v>67.444779990392121</v>
      </c>
      <c r="S24" s="32">
        <f t="shared" si="11"/>
        <v>43.501434261192564</v>
      </c>
      <c r="T24" s="32">
        <f t="shared" si="12"/>
        <v>0</v>
      </c>
      <c r="U24" s="363">
        <f t="shared" si="12"/>
        <v>0</v>
      </c>
      <c r="Y24" s="356">
        <f t="shared" si="13"/>
        <v>40.583169950476048</v>
      </c>
    </row>
    <row r="25" spans="1:25">
      <c r="A25" s="30">
        <v>382</v>
      </c>
      <c r="B25" s="30" t="s">
        <v>176</v>
      </c>
      <c r="C25" s="31" t="s">
        <v>2</v>
      </c>
      <c r="D25" s="31"/>
      <c r="E25" s="31"/>
      <c r="F25" s="32">
        <v>34293992.201150395</v>
      </c>
      <c r="G25" s="32">
        <v>31613000</v>
      </c>
      <c r="H25" s="32">
        <v>30955000</v>
      </c>
      <c r="I25" s="451">
        <v>30337450</v>
      </c>
      <c r="J25" s="32"/>
      <c r="K25" s="363"/>
      <c r="M25" s="125" t="s">
        <v>10</v>
      </c>
      <c r="N25" s="126">
        <f t="shared" si="6"/>
        <v>18066.627570807537</v>
      </c>
      <c r="O25" s="126">
        <f t="shared" si="7"/>
        <v>16022.861833577177</v>
      </c>
      <c r="P25" s="126">
        <f t="shared" si="8"/>
        <v>15192.98208214242</v>
      </c>
      <c r="Q25" s="126">
        <f t="shared" si="9"/>
        <v>21468.383471222765</v>
      </c>
      <c r="R25" s="126">
        <f t="shared" si="10"/>
        <v>21730.016371571102</v>
      </c>
      <c r="S25" s="126">
        <f t="shared" si="11"/>
        <v>18403.441972406261</v>
      </c>
      <c r="T25" s="126">
        <f t="shared" si="12"/>
        <v>0</v>
      </c>
      <c r="U25" s="365">
        <f t="shared" si="12"/>
        <v>0</v>
      </c>
      <c r="Y25" s="356">
        <f>Y13*$K$4/1000000</f>
        <v>17168.859508298257</v>
      </c>
    </row>
    <row r="26" spans="1:25">
      <c r="A26" s="30">
        <v>390</v>
      </c>
      <c r="B26" s="30" t="s">
        <v>190</v>
      </c>
      <c r="C26" s="31" t="s">
        <v>2</v>
      </c>
      <c r="D26" s="31"/>
      <c r="E26" s="31"/>
      <c r="F26" s="32">
        <v>2786294.6884163436</v>
      </c>
      <c r="G26" s="32">
        <v>36241000</v>
      </c>
      <c r="H26" s="32">
        <v>28636000</v>
      </c>
      <c r="I26" s="451">
        <v>3566761</v>
      </c>
      <c r="J26" s="32"/>
      <c r="K26" s="363"/>
      <c r="M26" s="295" t="s">
        <v>13</v>
      </c>
      <c r="N26" s="296">
        <f t="shared" si="6"/>
        <v>0</v>
      </c>
      <c r="O26" s="296">
        <f t="shared" si="7"/>
        <v>0</v>
      </c>
      <c r="P26" s="296">
        <f t="shared" si="8"/>
        <v>34748.869288491827</v>
      </c>
      <c r="Q26" s="296">
        <f t="shared" si="9"/>
        <v>40250.221587841028</v>
      </c>
      <c r="R26" s="296">
        <f t="shared" si="10"/>
        <v>32116.166619424868</v>
      </c>
      <c r="S26" s="296">
        <f t="shared" si="11"/>
        <v>22976.609419990647</v>
      </c>
      <c r="T26" s="296">
        <f t="shared" si="12"/>
        <v>28223.153939557877</v>
      </c>
      <c r="U26" s="366">
        <f t="shared" si="12"/>
        <v>21392.878939272672</v>
      </c>
    </row>
    <row r="27" spans="1:25">
      <c r="A27" s="30">
        <v>410</v>
      </c>
      <c r="B27" s="30" t="s">
        <v>177</v>
      </c>
      <c r="C27" s="31" t="s">
        <v>10</v>
      </c>
      <c r="D27" s="31"/>
      <c r="E27" s="31"/>
      <c r="F27" s="32">
        <v>42362656.68664632</v>
      </c>
      <c r="G27" s="32">
        <v>50136000</v>
      </c>
      <c r="H27" s="32">
        <v>62827000</v>
      </c>
      <c r="I27" s="453">
        <v>74936768</v>
      </c>
      <c r="J27" s="32"/>
      <c r="K27" s="363"/>
      <c r="M27" s="295" t="s">
        <v>12</v>
      </c>
      <c r="N27" s="296">
        <f t="shared" si="6"/>
        <v>0</v>
      </c>
      <c r="O27" s="296">
        <f t="shared" si="7"/>
        <v>4915.7517858353285</v>
      </c>
      <c r="P27" s="296">
        <f t="shared" si="8"/>
        <v>4107.2075628766506</v>
      </c>
      <c r="Q27" s="296">
        <f t="shared" si="9"/>
        <v>4956.0210287205264</v>
      </c>
      <c r="R27" s="296">
        <f t="shared" si="10"/>
        <v>3921.4816181080296</v>
      </c>
      <c r="S27" s="296">
        <f t="shared" si="11"/>
        <v>2896.4160800648715</v>
      </c>
      <c r="T27" s="296">
        <f t="shared" si="12"/>
        <v>3557.7919877751451</v>
      </c>
      <c r="U27" s="366">
        <f t="shared" si="12"/>
        <v>2696.7720704988033</v>
      </c>
      <c r="Y27">
        <v>2697</v>
      </c>
    </row>
    <row r="28" spans="1:25" ht="15.75" thickBot="1">
      <c r="A28" s="30">
        <v>421</v>
      </c>
      <c r="B28" s="30" t="s">
        <v>178</v>
      </c>
      <c r="C28" s="31" t="s">
        <v>7</v>
      </c>
      <c r="D28" s="31"/>
      <c r="E28" s="31"/>
      <c r="F28" s="32">
        <v>234065261.19832429</v>
      </c>
      <c r="G28" s="32">
        <v>227583000</v>
      </c>
      <c r="H28" s="32">
        <v>226121000</v>
      </c>
      <c r="I28" s="448">
        <v>227858973</v>
      </c>
      <c r="J28" s="32"/>
      <c r="K28" s="363"/>
      <c r="M28" s="299" t="s">
        <v>54</v>
      </c>
      <c r="N28" s="300">
        <f t="shared" si="6"/>
        <v>0</v>
      </c>
      <c r="O28" s="300">
        <f t="shared" si="7"/>
        <v>0</v>
      </c>
      <c r="P28" s="300">
        <f t="shared" si="8"/>
        <v>0</v>
      </c>
      <c r="Q28" s="300">
        <f t="shared" si="9"/>
        <v>0</v>
      </c>
      <c r="R28" s="300">
        <f t="shared" si="10"/>
        <v>0</v>
      </c>
      <c r="S28" s="300">
        <f t="shared" si="11"/>
        <v>0</v>
      </c>
      <c r="T28" s="300">
        <f t="shared" si="12"/>
        <v>0</v>
      </c>
      <c r="U28" s="369">
        <f t="shared" si="12"/>
        <v>0</v>
      </c>
    </row>
    <row r="29" spans="1:25" ht="15.75" thickBot="1">
      <c r="A29" s="30">
        <v>422</v>
      </c>
      <c r="B29" s="30" t="s">
        <v>179</v>
      </c>
      <c r="C29" s="31" t="s">
        <v>7</v>
      </c>
      <c r="D29" s="31"/>
      <c r="E29" s="31"/>
      <c r="F29" s="32">
        <v>48427875.054417193</v>
      </c>
      <c r="G29" s="32">
        <v>47385000</v>
      </c>
      <c r="H29" s="32">
        <v>49755000</v>
      </c>
      <c r="I29" s="448">
        <v>46438967</v>
      </c>
      <c r="J29" s="32"/>
      <c r="K29" s="363"/>
      <c r="M29" s="192" t="s">
        <v>96</v>
      </c>
      <c r="N29" s="191">
        <f t="shared" ref="N29:Q29" si="14">SUM(N20:N25)</f>
        <v>1260217.5712255798</v>
      </c>
      <c r="O29" s="191">
        <f t="shared" si="14"/>
        <v>1049832.6537389411</v>
      </c>
      <c r="P29" s="193">
        <f t="shared" si="14"/>
        <v>869627.05872803356</v>
      </c>
      <c r="Q29" s="193">
        <f t="shared" si="14"/>
        <v>979544.315006561</v>
      </c>
      <c r="R29" s="193">
        <f>SUM(R20:R25)</f>
        <v>806714.97799303837</v>
      </c>
      <c r="S29" s="193">
        <f>SUM(S20:S25)</f>
        <v>572674.97710310598</v>
      </c>
      <c r="T29" s="193">
        <f>SUM(T20:T25)</f>
        <v>715508.51940842625</v>
      </c>
      <c r="U29" s="370">
        <f>SUM(U20:U25)</f>
        <v>534257.46338882193</v>
      </c>
    </row>
    <row r="30" spans="1:25">
      <c r="A30" s="30">
        <v>431</v>
      </c>
      <c r="B30" s="30" t="s">
        <v>180</v>
      </c>
      <c r="C30" s="31" t="s">
        <v>7</v>
      </c>
      <c r="D30" s="31"/>
      <c r="E30" s="31"/>
      <c r="F30" s="32">
        <v>115174442.07068023</v>
      </c>
      <c r="G30" s="32">
        <v>113123000</v>
      </c>
      <c r="H30" s="32">
        <v>115122000</v>
      </c>
      <c r="I30" s="448">
        <v>115797535</v>
      </c>
      <c r="J30" s="32"/>
      <c r="K30" s="363"/>
      <c r="S30" s="188"/>
      <c r="Y30" s="356">
        <f>Y22+Y27</f>
        <v>154492.84291559362</v>
      </c>
    </row>
    <row r="31" spans="1:25">
      <c r="A31" s="30">
        <v>432</v>
      </c>
      <c r="B31" s="30" t="s">
        <v>191</v>
      </c>
      <c r="C31" s="31" t="s">
        <v>7</v>
      </c>
      <c r="D31" s="31"/>
      <c r="E31" s="31"/>
      <c r="F31" s="32">
        <v>165635073.30288523</v>
      </c>
      <c r="G31" s="32">
        <v>158094000</v>
      </c>
      <c r="H31" s="32">
        <v>160059000</v>
      </c>
      <c r="I31" s="448">
        <v>156440435</v>
      </c>
      <c r="J31" s="32"/>
      <c r="K31" s="363"/>
      <c r="O31" s="31"/>
      <c r="Q31" s="171"/>
      <c r="S31" s="188"/>
    </row>
    <row r="32" spans="1:25">
      <c r="A32" s="30">
        <v>433</v>
      </c>
      <c r="B32" s="30" t="s">
        <v>192</v>
      </c>
      <c r="C32" s="31" t="s">
        <v>7</v>
      </c>
      <c r="D32" s="31"/>
      <c r="E32" s="31"/>
      <c r="F32" s="32">
        <v>331109485.07391608</v>
      </c>
      <c r="G32" s="32">
        <v>318243000</v>
      </c>
      <c r="H32" s="32">
        <v>313325000</v>
      </c>
      <c r="I32" s="448">
        <v>304336173</v>
      </c>
      <c r="J32" s="32"/>
      <c r="K32" s="363"/>
      <c r="N32" s="31"/>
      <c r="O32" s="343"/>
      <c r="S32" s="188"/>
    </row>
    <row r="33" spans="1:25">
      <c r="A33" s="30">
        <v>441</v>
      </c>
      <c r="B33" s="30" t="s">
        <v>181</v>
      </c>
      <c r="C33" s="31" t="s">
        <v>6</v>
      </c>
      <c r="D33" s="31"/>
      <c r="E33" s="31"/>
      <c r="F33" s="32">
        <v>59634332.691161707</v>
      </c>
      <c r="G33" s="32">
        <v>56060000</v>
      </c>
      <c r="H33" s="32">
        <v>59201000</v>
      </c>
      <c r="I33" s="449">
        <v>65805193</v>
      </c>
      <c r="J33" s="32"/>
      <c r="K33" s="363"/>
      <c r="M33" s="358" t="s">
        <v>291</v>
      </c>
      <c r="N33" s="103">
        <f>I33*I4/1000000</f>
        <v>16160.85245174298</v>
      </c>
      <c r="O33" s="343"/>
      <c r="S33" s="188"/>
    </row>
    <row r="34" spans="1:25">
      <c r="A34" s="30">
        <v>442</v>
      </c>
      <c r="B34" s="30" t="s">
        <v>193</v>
      </c>
      <c r="C34" s="31" t="s">
        <v>6</v>
      </c>
      <c r="D34" s="31"/>
      <c r="E34" s="31"/>
      <c r="F34" s="32">
        <v>50348606.766579702</v>
      </c>
      <c r="G34" s="32">
        <v>47030000</v>
      </c>
      <c r="H34" s="32">
        <v>49551000</v>
      </c>
      <c r="I34" s="449">
        <v>49939977</v>
      </c>
      <c r="J34" s="32"/>
      <c r="K34" s="363"/>
      <c r="M34" s="358" t="s">
        <v>291</v>
      </c>
      <c r="N34" s="103">
        <f>I34*I4/1000000</f>
        <v>12264.573097452021</v>
      </c>
      <c r="O34" s="343"/>
      <c r="S34" s="3">
        <f>S17*I4/1000000</f>
        <v>572674.97710310598</v>
      </c>
      <c r="T34" s="3">
        <f>T17*J4/1000000</f>
        <v>715508.51940842625</v>
      </c>
      <c r="U34" s="3"/>
      <c r="Y34" s="171">
        <f>U29+Y27</f>
        <v>536954.46338882193</v>
      </c>
    </row>
    <row r="35" spans="1:25">
      <c r="A35" s="30">
        <v>443</v>
      </c>
      <c r="B35" s="30" t="s">
        <v>182</v>
      </c>
      <c r="C35" s="31" t="s">
        <v>6</v>
      </c>
      <c r="D35" s="31"/>
      <c r="E35" s="31"/>
      <c r="F35" s="32">
        <v>97517831.212464467</v>
      </c>
      <c r="G35" s="32">
        <v>99465000</v>
      </c>
      <c r="H35" s="32">
        <v>102392000</v>
      </c>
      <c r="I35" s="449">
        <v>100427119</v>
      </c>
      <c r="J35" s="32"/>
      <c r="K35" s="363"/>
      <c r="N35" s="341"/>
      <c r="O35" s="343"/>
      <c r="S35" s="263"/>
    </row>
    <row r="36" spans="1:25">
      <c r="A36" s="30">
        <v>444</v>
      </c>
      <c r="B36" s="30" t="s">
        <v>183</v>
      </c>
      <c r="C36" s="31" t="s">
        <v>6</v>
      </c>
      <c r="D36" s="31"/>
      <c r="E36" s="31"/>
      <c r="F36" s="32">
        <v>71612280.061713234</v>
      </c>
      <c r="G36" s="32">
        <v>71478000</v>
      </c>
      <c r="H36" s="32">
        <v>71234000</v>
      </c>
      <c r="I36" s="449">
        <v>69637201</v>
      </c>
      <c r="J36" s="32"/>
      <c r="K36" s="363"/>
      <c r="N36" s="341"/>
      <c r="O36" s="344"/>
    </row>
    <row r="37" spans="1:25">
      <c r="A37" s="30">
        <v>445</v>
      </c>
      <c r="B37" s="30" t="s">
        <v>184</v>
      </c>
      <c r="C37" s="31" t="s">
        <v>6</v>
      </c>
      <c r="D37" s="31"/>
      <c r="E37" s="31"/>
      <c r="F37" s="32">
        <v>45099591.78765846</v>
      </c>
      <c r="G37" s="32">
        <v>42845000</v>
      </c>
      <c r="H37" s="32">
        <v>49532000</v>
      </c>
      <c r="I37" s="449">
        <v>49038589</v>
      </c>
      <c r="J37" s="32"/>
      <c r="K37" s="363"/>
      <c r="N37" s="341"/>
      <c r="O37" s="343"/>
    </row>
    <row r="38" spans="1:25">
      <c r="A38" s="30">
        <v>446</v>
      </c>
      <c r="B38" s="30" t="s">
        <v>185</v>
      </c>
      <c r="C38" s="31" t="s">
        <v>7</v>
      </c>
      <c r="D38" s="31"/>
      <c r="E38" s="31"/>
      <c r="F38" s="32">
        <v>82543365.731698453</v>
      </c>
      <c r="G38" s="32">
        <v>81001000</v>
      </c>
      <c r="H38" s="32">
        <v>75946000</v>
      </c>
      <c r="I38" s="448">
        <v>74567684</v>
      </c>
      <c r="J38" s="32"/>
      <c r="K38" s="363"/>
      <c r="N38" s="342"/>
      <c r="O38" s="44"/>
      <c r="S38" s="171"/>
    </row>
    <row r="39" spans="1:25">
      <c r="A39" s="30">
        <v>447</v>
      </c>
      <c r="B39" s="30" t="s">
        <v>186</v>
      </c>
      <c r="C39" s="31" t="s">
        <v>6</v>
      </c>
      <c r="D39" s="31"/>
      <c r="E39" s="31"/>
      <c r="F39" s="32">
        <v>131405460.18026885</v>
      </c>
      <c r="G39" s="32">
        <v>130105000</v>
      </c>
      <c r="H39" s="32">
        <v>120616000</v>
      </c>
      <c r="I39" s="449">
        <v>112061770</v>
      </c>
      <c r="J39" s="32"/>
      <c r="K39" s="363"/>
      <c r="N39" s="341"/>
      <c r="O39" s="31"/>
    </row>
    <row r="40" spans="1:25">
      <c r="A40" s="30">
        <v>450</v>
      </c>
      <c r="B40" s="30" t="s">
        <v>187</v>
      </c>
      <c r="C40" s="31" t="s">
        <v>6</v>
      </c>
      <c r="D40" s="31"/>
      <c r="E40" s="31"/>
      <c r="F40" s="32">
        <v>21437310.09555269</v>
      </c>
      <c r="G40" s="32">
        <v>20576000</v>
      </c>
      <c r="H40" s="32">
        <v>18877000</v>
      </c>
      <c r="I40" s="449">
        <v>3263005</v>
      </c>
      <c r="J40" s="32"/>
      <c r="K40" s="363"/>
      <c r="N40" s="44"/>
      <c r="O40" s="31"/>
    </row>
    <row r="41" spans="1:25">
      <c r="A41" s="30">
        <v>460</v>
      </c>
      <c r="B41" s="30" t="s">
        <v>188</v>
      </c>
      <c r="C41" s="31" t="s">
        <v>13</v>
      </c>
      <c r="D41" s="31"/>
      <c r="E41" s="31"/>
      <c r="F41" s="32">
        <v>96890420.32424666</v>
      </c>
      <c r="G41" s="32">
        <v>93998000</v>
      </c>
      <c r="H41" s="32">
        <v>92856000</v>
      </c>
      <c r="I41" s="456">
        <v>93558197</v>
      </c>
      <c r="J41" s="456">
        <v>93558197</v>
      </c>
      <c r="K41" s="457">
        <v>93558197</v>
      </c>
      <c r="L41" t="s">
        <v>265</v>
      </c>
      <c r="N41" s="31"/>
      <c r="O41" s="31"/>
    </row>
    <row r="42" spans="1:25">
      <c r="A42" s="30"/>
      <c r="B42" s="30" t="s">
        <v>266</v>
      </c>
      <c r="C42" s="31" t="s">
        <v>6</v>
      </c>
      <c r="D42" s="31"/>
      <c r="E42" s="31"/>
      <c r="F42" s="32">
        <v>18496000</v>
      </c>
      <c r="G42" s="32">
        <f>G41-Trafik!E8</f>
        <v>15417177</v>
      </c>
      <c r="H42" s="32">
        <f>H41-Trafik!F8</f>
        <v>15184027.474507481</v>
      </c>
      <c r="I42" s="449">
        <f>I41-Trafik!G8</f>
        <v>17891646.443630084</v>
      </c>
      <c r="J42" s="32">
        <f>J41-Trafik!H8</f>
        <v>14590316.842485934</v>
      </c>
      <c r="K42" s="363">
        <f>K41-Trafik!I8</f>
        <v>15888625.023394227</v>
      </c>
    </row>
    <row r="43" spans="1:25" ht="15.75" thickBot="1">
      <c r="B43" s="36" t="s">
        <v>54</v>
      </c>
      <c r="C43" s="37"/>
      <c r="D43" s="37"/>
      <c r="E43" s="37"/>
      <c r="F43" s="38">
        <f>SUM(F9:F41)</f>
        <v>2514631398.5634265</v>
      </c>
      <c r="G43" s="38">
        <f>SUM(G9:G41)</f>
        <v>2377725000</v>
      </c>
      <c r="H43" s="38">
        <f>SUM(H9:H41)</f>
        <v>2421428000</v>
      </c>
      <c r="I43" s="38">
        <f>SUM(I9:I41)</f>
        <v>2419329221</v>
      </c>
      <c r="J43" s="38">
        <v>2462633000</v>
      </c>
      <c r="K43" s="190">
        <v>2425949590</v>
      </c>
      <c r="L43" s="340"/>
      <c r="T43" s="3">
        <f>J43*J4/1000000</f>
        <v>742888.08981253917</v>
      </c>
      <c r="U43" s="3"/>
    </row>
    <row r="44" spans="1:25">
      <c r="I44" s="188"/>
    </row>
    <row r="45" spans="1:25">
      <c r="I45" s="188"/>
    </row>
    <row r="46" spans="1:25" ht="60">
      <c r="B46" s="127" t="s">
        <v>80</v>
      </c>
      <c r="H46" s="276"/>
      <c r="I46" s="276">
        <f>I43-I41-I10-I13-I14+I42</f>
        <v>2331868786.4436302</v>
      </c>
      <c r="J46" s="276">
        <f>J43-J41-J10-J13-J14+J42</f>
        <v>2371871235.8424859</v>
      </c>
      <c r="K46" s="276">
        <f>K43-K41-K10-K13-K14+K42</f>
        <v>2336486134.0233941</v>
      </c>
    </row>
    <row r="47" spans="1:25">
      <c r="I47" s="188"/>
      <c r="J47" s="171"/>
      <c r="K47" s="171"/>
    </row>
    <row r="48" spans="1:25">
      <c r="I48" s="188"/>
    </row>
    <row r="49" spans="2:14">
      <c r="I49" s="188"/>
    </row>
    <row r="50" spans="2:14">
      <c r="I50" s="188"/>
    </row>
    <row r="51" spans="2:14" ht="23.25">
      <c r="B51" s="132" t="s">
        <v>85</v>
      </c>
      <c r="I51" s="188"/>
    </row>
    <row r="52" spans="2:14" ht="15.75" thickBot="1">
      <c r="D52" s="27">
        <v>2010</v>
      </c>
      <c r="E52" s="27">
        <f>2011</f>
        <v>2011</v>
      </c>
      <c r="F52" s="27">
        <f t="shared" ref="F52:K52" si="15">E52+1</f>
        <v>2012</v>
      </c>
      <c r="G52" s="27">
        <f t="shared" si="15"/>
        <v>2013</v>
      </c>
      <c r="H52" s="27">
        <f t="shared" si="15"/>
        <v>2014</v>
      </c>
      <c r="I52" s="27">
        <f t="shared" si="15"/>
        <v>2015</v>
      </c>
      <c r="J52" s="27">
        <f t="shared" si="15"/>
        <v>2016</v>
      </c>
      <c r="K52" s="236">
        <f t="shared" si="15"/>
        <v>2017</v>
      </c>
    </row>
    <row r="53" spans="2:14">
      <c r="C53" s="9" t="s">
        <v>86</v>
      </c>
      <c r="D53" s="215">
        <v>0.41014690683775057</v>
      </c>
      <c r="E53" s="215">
        <v>0.34642240118269813</v>
      </c>
      <c r="F53" s="215">
        <v>0.27390373598962314</v>
      </c>
      <c r="G53" s="215">
        <v>0.38418132069029687</v>
      </c>
      <c r="H53" s="215">
        <v>0.30046380995508848</v>
      </c>
      <c r="I53" s="215">
        <v>0.18845748845200772</v>
      </c>
      <c r="J53" s="215">
        <v>0.24</v>
      </c>
      <c r="K53" s="375">
        <v>0.1671</v>
      </c>
      <c r="L53" s="340"/>
    </row>
    <row r="54" spans="2:14">
      <c r="C54" s="30" t="s">
        <v>31</v>
      </c>
      <c r="D54" s="62">
        <v>0.20142733055092529</v>
      </c>
      <c r="E54" s="62">
        <v>0.15552703922685684</v>
      </c>
      <c r="F54" s="62">
        <v>0.12129190039677198</v>
      </c>
      <c r="G54" s="62">
        <v>0.10193972752136428</v>
      </c>
      <c r="H54" s="62">
        <v>6.652030730056771E-2</v>
      </c>
      <c r="I54" s="62">
        <v>5.8065588112666995E-2</v>
      </c>
      <c r="J54" s="62">
        <v>0.08</v>
      </c>
      <c r="K54" s="376">
        <v>6.4899999999999999E-2</v>
      </c>
      <c r="L54" s="340"/>
      <c r="M54" s="329"/>
      <c r="N54" s="329"/>
    </row>
    <row r="55" spans="2:14">
      <c r="C55" s="30" t="s">
        <v>87</v>
      </c>
      <c r="D55" s="62">
        <v>0.22686863517012898</v>
      </c>
      <c r="E55" s="62">
        <v>0.33488718532377865</v>
      </c>
      <c r="F55" s="62">
        <v>0.40797378340736712</v>
      </c>
      <c r="G55" s="62">
        <v>0.35189985151384445</v>
      </c>
      <c r="H55" s="62">
        <v>0.46528943102371312</v>
      </c>
      <c r="I55" s="62">
        <v>0.57610459910214673</v>
      </c>
      <c r="J55" s="62">
        <v>0.51</v>
      </c>
      <c r="K55" s="376">
        <v>0.55020000000000002</v>
      </c>
      <c r="L55" s="340"/>
      <c r="M55" s="329"/>
      <c r="N55" s="329"/>
    </row>
    <row r="56" spans="2:14">
      <c r="C56" s="30" t="s">
        <v>88</v>
      </c>
      <c r="D56" s="62">
        <v>0.12537407591136115</v>
      </c>
      <c r="E56" s="62">
        <v>0.1262147341890634</v>
      </c>
      <c r="F56" s="62">
        <v>0.13894964192058426</v>
      </c>
      <c r="G56" s="62">
        <v>0.13474101266823266</v>
      </c>
      <c r="H56" s="62">
        <v>0.13368886579223474</v>
      </c>
      <c r="I56" s="62">
        <v>0.13258121983605445</v>
      </c>
      <c r="J56" s="62">
        <v>0.14000000000000001</v>
      </c>
      <c r="K56" s="376">
        <v>0.17780000000000001</v>
      </c>
      <c r="L56" s="340"/>
      <c r="M56" s="329"/>
      <c r="N56" s="426"/>
    </row>
    <row r="57" spans="2:14">
      <c r="C57" s="30" t="s">
        <v>32</v>
      </c>
      <c r="D57" s="62">
        <v>1.4580011432219602E-2</v>
      </c>
      <c r="E57" s="62">
        <v>8.1943678815445224E-3</v>
      </c>
      <c r="F57" s="62">
        <v>6.7580931802061145E-3</v>
      </c>
      <c r="G57" s="62">
        <v>5.4749555099699856E-3</v>
      </c>
      <c r="H57" s="62">
        <v>4.4382387054640194E-3</v>
      </c>
      <c r="I57" s="62">
        <v>5.9130924145595299E-3</v>
      </c>
      <c r="J57" s="62">
        <v>5.9130924145595299E-3</v>
      </c>
      <c r="K57" s="376">
        <v>5.0000000000000001E-3</v>
      </c>
      <c r="L57" s="340"/>
      <c r="M57" s="427"/>
    </row>
    <row r="58" spans="2:14">
      <c r="C58" s="30" t="s">
        <v>89</v>
      </c>
      <c r="D58" s="62">
        <v>2.1603040097614476E-2</v>
      </c>
      <c r="E58" s="62">
        <v>2.8754272196058417E-2</v>
      </c>
      <c r="F58" s="62">
        <v>5.1122845105447484E-2</v>
      </c>
      <c r="G58" s="62">
        <v>2.1763132096291667E-2</v>
      </c>
      <c r="H58" s="62">
        <v>2.959934722293199E-2</v>
      </c>
      <c r="I58" s="62">
        <v>3.887801208256448E-2</v>
      </c>
      <c r="J58" s="62">
        <v>0.02</v>
      </c>
      <c r="K58" s="376">
        <v>3.49E-2</v>
      </c>
      <c r="L58" s="340"/>
    </row>
    <row r="59" spans="2:14" ht="15.75" thickBot="1">
      <c r="C59" s="133" t="s">
        <v>54</v>
      </c>
      <c r="D59" s="65">
        <f>SUM(D53:D58)</f>
        <v>1.0000000000000002</v>
      </c>
      <c r="E59" s="65">
        <f>SUM(E53:E58)</f>
        <v>1</v>
      </c>
      <c r="F59" s="65">
        <f t="shared" ref="F59:G59" si="16">SUM(F53:F58)</f>
        <v>1</v>
      </c>
      <c r="G59" s="65">
        <f t="shared" si="16"/>
        <v>1</v>
      </c>
      <c r="H59" s="65">
        <f>SUM(H53:H58)</f>
        <v>1</v>
      </c>
      <c r="I59" s="65">
        <f>SUM(I53:I58)</f>
        <v>0.99999999999999978</v>
      </c>
      <c r="J59" s="65">
        <f>SUM(J53:J58)</f>
        <v>0.99591309241455961</v>
      </c>
      <c r="K59" s="223">
        <f>SUM(K53:K58)</f>
        <v>0.99990000000000001</v>
      </c>
      <c r="L59" s="340"/>
    </row>
    <row r="60" spans="2:14">
      <c r="I60" s="188"/>
    </row>
    <row r="65" spans="3:3">
      <c r="C65" s="309"/>
    </row>
    <row r="66" spans="3:3">
      <c r="C66" s="309"/>
    </row>
    <row r="67" spans="3:3">
      <c r="C67" s="309"/>
    </row>
    <row r="68" spans="3:3">
      <c r="C68" s="309"/>
    </row>
    <row r="69" spans="3:3">
      <c r="C69" s="309"/>
    </row>
    <row r="70" spans="3:3">
      <c r="C70" s="310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93"/>
  <sheetViews>
    <sheetView topLeftCell="A10" workbookViewId="0">
      <selection activeCell="R30" sqref="R30"/>
    </sheetView>
  </sheetViews>
  <sheetFormatPr defaultRowHeight="15"/>
  <cols>
    <col min="1" max="1" width="4.42578125" customWidth="1"/>
    <col min="2" max="2" width="31.42578125" bestFit="1" customWidth="1"/>
    <col min="3" max="3" width="8.85546875" customWidth="1"/>
    <col min="4" max="4" width="9.28515625" bestFit="1" customWidth="1"/>
    <col min="5" max="7" width="11" bestFit="1" customWidth="1"/>
    <col min="8" max="8" width="12" bestFit="1" customWidth="1"/>
    <col min="9" max="11" width="11.7109375" customWidth="1"/>
    <col min="12" max="12" width="14.7109375" bestFit="1" customWidth="1"/>
    <col min="13" max="13" width="11.42578125" bestFit="1" customWidth="1"/>
  </cols>
  <sheetData>
    <row r="1" spans="1:15">
      <c r="L1" s="103"/>
    </row>
    <row r="3" spans="1:15" ht="23.25">
      <c r="B3" s="132" t="s">
        <v>110</v>
      </c>
    </row>
    <row r="4" spans="1:15">
      <c r="L4" s="188"/>
      <c r="M4" s="188"/>
    </row>
    <row r="5" spans="1:15" ht="15.75" thickBot="1">
      <c r="B5" t="s">
        <v>114</v>
      </c>
      <c r="D5" s="27">
        <v>2010</v>
      </c>
      <c r="E5" s="27">
        <f>2011</f>
        <v>2011</v>
      </c>
      <c r="F5" s="27">
        <f>E5+1</f>
        <v>2012</v>
      </c>
      <c r="G5" s="27">
        <f>F5+1</f>
        <v>2013</v>
      </c>
      <c r="H5" s="27">
        <v>2014</v>
      </c>
      <c r="I5" s="27">
        <v>2015</v>
      </c>
      <c r="J5" s="27">
        <v>2016</v>
      </c>
      <c r="K5" s="27">
        <v>2017</v>
      </c>
      <c r="L5" s="188"/>
      <c r="M5" s="188"/>
      <c r="N5" s="27" t="s">
        <v>149</v>
      </c>
    </row>
    <row r="6" spans="1:15">
      <c r="B6" s="147" t="s">
        <v>111</v>
      </c>
      <c r="C6" s="154" t="s">
        <v>62</v>
      </c>
      <c r="D6" s="288">
        <v>750</v>
      </c>
      <c r="E6" s="288">
        <v>105</v>
      </c>
      <c r="F6" s="288">
        <v>1879</v>
      </c>
      <c r="G6" s="288">
        <v>0</v>
      </c>
      <c r="H6" s="288">
        <v>751</v>
      </c>
      <c r="I6" s="288">
        <v>736</v>
      </c>
      <c r="J6" s="288">
        <v>760</v>
      </c>
      <c r="K6" s="290">
        <v>676</v>
      </c>
      <c r="L6" s="340"/>
      <c r="M6" s="188"/>
    </row>
    <row r="7" spans="1:15">
      <c r="B7" s="148" t="s">
        <v>115</v>
      </c>
      <c r="C7" s="151" t="s">
        <v>62</v>
      </c>
      <c r="D7" s="289">
        <v>97637</v>
      </c>
      <c r="E7" s="289">
        <v>96465</v>
      </c>
      <c r="F7" s="289">
        <v>99269.381492</v>
      </c>
      <c r="G7" s="289">
        <v>86013.467338999995</v>
      </c>
      <c r="H7" s="289">
        <v>178992.17942992001</v>
      </c>
      <c r="I7" s="289">
        <v>233853.535764753</v>
      </c>
      <c r="J7" s="289">
        <v>211144.59299999999</v>
      </c>
      <c r="K7" s="291">
        <v>303423</v>
      </c>
      <c r="L7" s="340"/>
      <c r="M7" s="188"/>
      <c r="N7" t="s">
        <v>150</v>
      </c>
    </row>
    <row r="8" spans="1:15">
      <c r="B8" s="148" t="s">
        <v>112</v>
      </c>
      <c r="C8" s="151" t="s">
        <v>62</v>
      </c>
      <c r="D8" s="289">
        <v>109215</v>
      </c>
      <c r="E8" s="289">
        <v>132889</v>
      </c>
      <c r="F8" s="289">
        <v>128517</v>
      </c>
      <c r="G8" s="253">
        <f>G39</f>
        <v>126449.4</v>
      </c>
      <c r="H8" s="253">
        <f>H39</f>
        <v>118024.2</v>
      </c>
      <c r="I8" s="253">
        <f>I39</f>
        <v>94202.5</v>
      </c>
      <c r="J8" s="253">
        <f>J39</f>
        <v>108417.4</v>
      </c>
      <c r="K8" s="292">
        <f>K39</f>
        <v>59331.999999999993</v>
      </c>
      <c r="L8" s="340"/>
      <c r="M8" s="188"/>
    </row>
    <row r="9" spans="1:15">
      <c r="B9" s="148" t="s">
        <v>113</v>
      </c>
      <c r="C9" s="151" t="s">
        <v>62</v>
      </c>
      <c r="D9" s="289">
        <v>395995</v>
      </c>
      <c r="E9" s="289">
        <v>483758</v>
      </c>
      <c r="F9" s="289">
        <v>271956</v>
      </c>
      <c r="G9" s="253">
        <f>G33</f>
        <v>202230</v>
      </c>
      <c r="H9" s="253">
        <f>H33</f>
        <v>176480</v>
      </c>
      <c r="I9" s="253">
        <f>I33</f>
        <v>142695</v>
      </c>
      <c r="J9" s="253">
        <f>J33</f>
        <v>215678</v>
      </c>
      <c r="K9" s="292">
        <f>K33</f>
        <v>180070</v>
      </c>
      <c r="L9" s="340"/>
      <c r="M9" s="188"/>
    </row>
    <row r="10" spans="1:15" ht="15.75" thickBot="1">
      <c r="B10" s="150" t="s">
        <v>96</v>
      </c>
      <c r="C10" s="155" t="s">
        <v>62</v>
      </c>
      <c r="D10" s="285">
        <f>SUM(D6:D9)+1</f>
        <v>603598</v>
      </c>
      <c r="E10" s="285">
        <f t="shared" ref="E10:I10" si="0">SUM(E6:E9)</f>
        <v>713217</v>
      </c>
      <c r="F10" s="285">
        <f t="shared" si="0"/>
        <v>501621.38149200001</v>
      </c>
      <c r="G10" s="285">
        <f t="shared" si="0"/>
        <v>414692.86733899999</v>
      </c>
      <c r="H10" s="285">
        <f t="shared" si="0"/>
        <v>474247.37942991999</v>
      </c>
      <c r="I10" s="285">
        <f t="shared" si="0"/>
        <v>471487.035764753</v>
      </c>
      <c r="J10" s="285">
        <f t="shared" ref="J10" si="1">SUM(J6:J9)</f>
        <v>535999.99300000002</v>
      </c>
      <c r="K10" s="286">
        <f>SUM(K6:K9)</f>
        <v>543501</v>
      </c>
      <c r="L10" s="340"/>
      <c r="M10" s="188"/>
      <c r="N10" s="171">
        <f>(J7-I7)*100/I7</f>
        <v>-9.710754507298649</v>
      </c>
      <c r="O10" s="171">
        <f>(K7-J7)*100/J7</f>
        <v>43.703892999997407</v>
      </c>
    </row>
    <row r="11" spans="1:15">
      <c r="L11" s="188"/>
      <c r="M11" s="188"/>
    </row>
    <row r="12" spans="1:15">
      <c r="L12" s="188"/>
      <c r="M12" s="188"/>
    </row>
    <row r="13" spans="1:15">
      <c r="L13" s="429"/>
      <c r="M13" s="188"/>
    </row>
    <row r="14" spans="1:15">
      <c r="B14" s="31"/>
      <c r="C14" s="31"/>
      <c r="L14" s="188"/>
      <c r="M14" s="188"/>
    </row>
    <row r="15" spans="1:15" ht="15.75" thickBot="1">
      <c r="A15" s="31"/>
      <c r="B15" s="31"/>
      <c r="C15" s="31"/>
      <c r="D15" s="43">
        <v>2010</v>
      </c>
      <c r="E15" s="43">
        <v>2011</v>
      </c>
      <c r="F15" s="43">
        <v>2012</v>
      </c>
      <c r="G15" s="43">
        <v>2013</v>
      </c>
      <c r="H15" s="43">
        <v>2014</v>
      </c>
      <c r="I15" s="43">
        <v>2015</v>
      </c>
      <c r="J15" s="43">
        <v>2016</v>
      </c>
      <c r="K15" s="43">
        <v>2017</v>
      </c>
      <c r="L15" s="188"/>
      <c r="M15" s="188"/>
    </row>
    <row r="16" spans="1:15">
      <c r="B16" s="147" t="s">
        <v>135</v>
      </c>
      <c r="C16" s="154" t="s">
        <v>25</v>
      </c>
      <c r="D16" s="219">
        <f>Elfosyning!N17/10^6</f>
        <v>2509.7449999999999</v>
      </c>
      <c r="E16" s="219">
        <f>Elfosyning!O17/10^6</f>
        <v>2463.259</v>
      </c>
      <c r="F16" s="219">
        <f>Elfosyning!P17/10^6</f>
        <v>2424.784833888174</v>
      </c>
      <c r="G16" s="219">
        <f>Elfosyning!Q17/10^6</f>
        <v>2287.5701770000001</v>
      </c>
      <c r="H16" s="219">
        <f>Elfosyning!R17/10^6</f>
        <v>2332.4180274745072</v>
      </c>
      <c r="I16" s="219">
        <f>Elfosyning!S17/10^6</f>
        <v>2331.8687864436301</v>
      </c>
      <c r="J16" s="219">
        <f>Elfosyning!T17/10^6</f>
        <v>2371.8712358424859</v>
      </c>
      <c r="K16" s="314">
        <f>Elfosyning!U17/10^6</f>
        <v>2336.4861340233942</v>
      </c>
      <c r="L16" s="340"/>
      <c r="M16" s="418"/>
    </row>
    <row r="17" spans="2:19">
      <c r="B17" s="148" t="s">
        <v>136</v>
      </c>
      <c r="C17" s="151" t="s">
        <v>25</v>
      </c>
      <c r="D17" s="152">
        <f>'VE-el'!D10/1000</f>
        <v>603.59799999999996</v>
      </c>
      <c r="E17" s="152">
        <f>'VE-el'!E10/1000</f>
        <v>713.21699999999998</v>
      </c>
      <c r="F17" s="152">
        <f>'VE-el'!F10/1000</f>
        <v>501.62138149200001</v>
      </c>
      <c r="G17" s="152">
        <f>'VE-el'!G10/1000</f>
        <v>414.69286733899997</v>
      </c>
      <c r="H17" s="152">
        <f>'VE-el'!H10/1000</f>
        <v>474.24737942991999</v>
      </c>
      <c r="I17" s="152">
        <f>'VE-el'!I10/1000</f>
        <v>471.48703576475299</v>
      </c>
      <c r="J17" s="152">
        <f>'VE-el'!J10/1000</f>
        <v>535.99999300000002</v>
      </c>
      <c r="K17" s="149">
        <f>'VE-el'!K10/1000</f>
        <v>543.50099999999998</v>
      </c>
      <c r="L17" s="340"/>
      <c r="M17" s="188"/>
    </row>
    <row r="18" spans="2:19">
      <c r="B18" s="148" t="s">
        <v>137</v>
      </c>
      <c r="C18" s="151" t="s">
        <v>147</v>
      </c>
      <c r="D18" s="153">
        <f t="shared" ref="D18:K18" si="2">2%+5%</f>
        <v>7.0000000000000007E-2</v>
      </c>
      <c r="E18" s="153">
        <f t="shared" si="2"/>
        <v>7.0000000000000007E-2</v>
      </c>
      <c r="F18" s="153">
        <f t="shared" si="2"/>
        <v>7.0000000000000007E-2</v>
      </c>
      <c r="G18" s="153">
        <f t="shared" si="2"/>
        <v>7.0000000000000007E-2</v>
      </c>
      <c r="H18" s="153">
        <f t="shared" si="2"/>
        <v>7.0000000000000007E-2</v>
      </c>
      <c r="I18" s="153">
        <f t="shared" si="2"/>
        <v>7.0000000000000007E-2</v>
      </c>
      <c r="J18" s="153">
        <f t="shared" si="2"/>
        <v>7.0000000000000007E-2</v>
      </c>
      <c r="K18" s="305">
        <f t="shared" si="2"/>
        <v>7.0000000000000007E-2</v>
      </c>
      <c r="L18" s="340"/>
      <c r="M18" s="188"/>
    </row>
    <row r="19" spans="2:19">
      <c r="B19" s="148" t="s">
        <v>138</v>
      </c>
      <c r="C19" s="151" t="s">
        <v>25</v>
      </c>
      <c r="D19" s="152">
        <f>Forudsætninger!D7</f>
        <v>34250</v>
      </c>
      <c r="E19" s="152">
        <f>Forudsætninger!E7</f>
        <v>34250</v>
      </c>
      <c r="F19" s="152">
        <f>Forudsætninger!F7</f>
        <v>34251</v>
      </c>
      <c r="G19" s="152">
        <f>Forudsætninger!G7</f>
        <v>34252</v>
      </c>
      <c r="H19" s="152">
        <f>Forudsætninger!H7</f>
        <v>33471</v>
      </c>
      <c r="I19" s="152">
        <f>Forudsætninger!I7</f>
        <v>33616</v>
      </c>
      <c r="J19" s="152">
        <f>Forudsætninger!J7</f>
        <v>33987</v>
      </c>
      <c r="K19" s="149">
        <f>Forudsætninger!K7</f>
        <v>34015</v>
      </c>
      <c r="L19" s="340"/>
      <c r="M19" s="188"/>
    </row>
    <row r="20" spans="2:19" ht="15.75" thickBot="1">
      <c r="B20" s="303" t="s">
        <v>139</v>
      </c>
      <c r="C20" s="306" t="s">
        <v>141</v>
      </c>
      <c r="D20" s="307">
        <f>Forudsætninger!D13</f>
        <v>502.12972681510666</v>
      </c>
      <c r="E20" s="307">
        <f>Forudsætninger!E13</f>
        <v>426.19661746448139</v>
      </c>
      <c r="F20" s="307">
        <f>Forudsætninger!F13</f>
        <v>358.64091797933901</v>
      </c>
      <c r="G20" s="307">
        <f>Forudsætninger!G13</f>
        <v>428.20295738038072</v>
      </c>
      <c r="H20" s="307">
        <f>Forudsætninger!H13</f>
        <v>345.87066661739544</v>
      </c>
      <c r="I20" s="307">
        <f>Forudsætninger!I13</f>
        <v>245.58627845287194</v>
      </c>
      <c r="J20" s="307">
        <f>Forudsætninger!J13</f>
        <v>301.66414963680711</v>
      </c>
      <c r="K20" s="308">
        <f>Forudsætninger!K13</f>
        <v>228.65852084850107</v>
      </c>
      <c r="L20" s="340"/>
      <c r="M20" s="188"/>
    </row>
    <row r="21" spans="2:19" ht="15.75" thickBot="1">
      <c r="B21" s="303" t="s">
        <v>140</v>
      </c>
      <c r="C21" s="304" t="s">
        <v>146</v>
      </c>
      <c r="D21" s="285">
        <f t="shared" ref="D21:G21" si="3">(D16-D17*(1-D18))*((D19*D20)/(D19-D17*(1-D18)))</f>
        <v>994650.98707209923</v>
      </c>
      <c r="E21" s="285">
        <f t="shared" si="3"/>
        <v>782289.89821800333</v>
      </c>
      <c r="F21" s="285">
        <f t="shared" si="3"/>
        <v>712016.09448826348</v>
      </c>
      <c r="G21" s="285">
        <f t="shared" si="3"/>
        <v>823675.96775211603</v>
      </c>
      <c r="H21" s="285">
        <f>(H16-H17*(1-H18))*((H19*H20)/(H19-H17*(1-H18)))</f>
        <v>662903.83597582323</v>
      </c>
      <c r="I21" s="285">
        <f>(I16-I17*(1-I18))*((I19*I20)/(I19-I17*(1-I18)))</f>
        <v>471135.00965486717</v>
      </c>
      <c r="J21" s="285">
        <f>(J16-J17*(1-J18))*((J19*J20)/(J19-J17*(1-J18)))</f>
        <v>573547.06710424228</v>
      </c>
      <c r="K21" s="269">
        <f>(K16-K17*(1-K18))*((K19*K20)/(K19-K17*(1-K18)))</f>
        <v>424996.01172945584</v>
      </c>
      <c r="L21" s="340"/>
      <c r="M21" s="188"/>
    </row>
    <row r="22" spans="2:19" ht="15.75" thickBot="1">
      <c r="L22" s="188"/>
      <c r="M22" s="188"/>
      <c r="N22" s="171">
        <f>H31-I31</f>
        <v>33299</v>
      </c>
    </row>
    <row r="23" spans="2:19" ht="15.75" thickBot="1">
      <c r="B23" s="159" t="s">
        <v>145</v>
      </c>
      <c r="C23" s="26" t="s">
        <v>146</v>
      </c>
      <c r="D23" s="24">
        <f>Elfosyning!N29-D21</f>
        <v>265566.58415348059</v>
      </c>
      <c r="E23" s="24">
        <f>Elfosyning!O29-E21</f>
        <v>267542.75552093773</v>
      </c>
      <c r="F23" s="24">
        <f>Elfosyning!P29-F21</f>
        <v>157610.96423977008</v>
      </c>
      <c r="G23" s="24">
        <f>Elfosyning!Q29-G21</f>
        <v>155868.34725444496</v>
      </c>
      <c r="H23" s="24">
        <f>Elfosyning!R29-H21</f>
        <v>143811.14201721514</v>
      </c>
      <c r="I23" s="24">
        <f>Elfosyning!S29-I21</f>
        <v>101539.96744823881</v>
      </c>
      <c r="J23" s="24">
        <f>Elfosyning!T29-J21</f>
        <v>141961.45230418397</v>
      </c>
      <c r="K23" s="335">
        <f>Elfosyning!U29-K21</f>
        <v>109261.45165936608</v>
      </c>
      <c r="L23" s="340"/>
      <c r="M23" s="188"/>
      <c r="N23">
        <f>(I31-H31)*100/H31</f>
        <v>-19.359883720930231</v>
      </c>
      <c r="S23">
        <v>711107</v>
      </c>
    </row>
    <row r="24" spans="2:19">
      <c r="D24" s="6">
        <f>D23/Elfosyning!N29</f>
        <v>0.21073074222827512</v>
      </c>
      <c r="E24" s="6">
        <f>E23/Elfosyning!O29</f>
        <v>0.25484324055657237</v>
      </c>
      <c r="F24" s="6">
        <f>F23/Elfosyning!P29</f>
        <v>0.18123971955323115</v>
      </c>
      <c r="G24" s="6">
        <f>G23/Elfosyning!Q29</f>
        <v>0.15912332384206726</v>
      </c>
      <c r="H24" s="6">
        <f>H23/Elfosyning!R29</f>
        <v>0.17826759876826803</v>
      </c>
      <c r="I24" s="6">
        <f>I23/Elfosyning!S29</f>
        <v>0.17730819663516967</v>
      </c>
      <c r="J24" s="6">
        <f>J23/Elfosyning!T29</f>
        <v>0.19840637595979427</v>
      </c>
      <c r="K24" s="6">
        <f>K23/Elfosyning!U29</f>
        <v>0.20451085693087975</v>
      </c>
      <c r="L24" s="340"/>
      <c r="M24" s="188"/>
      <c r="S24" s="171">
        <f>S23-K21</f>
        <v>286110.98827054416</v>
      </c>
    </row>
    <row r="25" spans="2:19">
      <c r="L25" s="188"/>
      <c r="M25" s="188"/>
    </row>
    <row r="26" spans="2:19">
      <c r="D26" s="32"/>
      <c r="E26" s="32"/>
      <c r="F26" s="32"/>
      <c r="G26" s="32"/>
      <c r="H26" s="32"/>
      <c r="I26" s="32"/>
      <c r="J26" s="32"/>
      <c r="K26" s="32"/>
      <c r="L26" s="188"/>
      <c r="M26" s="188"/>
    </row>
    <row r="27" spans="2:19">
      <c r="D27" s="73"/>
      <c r="E27" s="73"/>
      <c r="F27" s="73"/>
      <c r="G27" s="73"/>
      <c r="H27" s="73"/>
      <c r="I27" s="73"/>
      <c r="J27" s="73"/>
      <c r="K27" s="73"/>
      <c r="L27" s="188"/>
      <c r="M27" s="188"/>
    </row>
    <row r="28" spans="2:19">
      <c r="D28" s="31"/>
      <c r="E28" s="31"/>
      <c r="F28" s="31"/>
      <c r="G28" s="31"/>
      <c r="H28" s="31"/>
      <c r="I28" s="31"/>
      <c r="J28" s="31"/>
      <c r="K28" s="31"/>
      <c r="L28" s="188"/>
      <c r="M28" s="188"/>
    </row>
    <row r="29" spans="2:19">
      <c r="L29" s="188"/>
      <c r="M29" s="188"/>
    </row>
    <row r="30" spans="2:19" ht="15.75" thickBot="1">
      <c r="B30" s="27" t="s">
        <v>229</v>
      </c>
      <c r="C30" s="27"/>
      <c r="D30" s="27"/>
      <c r="E30" s="27"/>
      <c r="F30" s="27"/>
      <c r="G30" s="27">
        <v>2013</v>
      </c>
      <c r="H30" s="27">
        <v>2014</v>
      </c>
      <c r="I30" s="27">
        <v>2015</v>
      </c>
      <c r="J30" s="27">
        <v>2016</v>
      </c>
      <c r="K30" s="27">
        <v>2017</v>
      </c>
      <c r="L30" s="188"/>
      <c r="M30" s="188"/>
    </row>
    <row r="31" spans="2:19">
      <c r="B31" s="9" t="s">
        <v>230</v>
      </c>
      <c r="C31" s="10"/>
      <c r="D31" s="10"/>
      <c r="E31" s="10"/>
      <c r="F31" s="10"/>
      <c r="G31" s="283">
        <v>198010</v>
      </c>
      <c r="H31" s="283">
        <v>172000</v>
      </c>
      <c r="I31" s="283">
        <v>138701</v>
      </c>
      <c r="J31" s="283">
        <v>211797</v>
      </c>
      <c r="K31" s="284">
        <v>176334</v>
      </c>
      <c r="L31" s="348"/>
      <c r="M31" s="276"/>
      <c r="N31" s="171">
        <f>(J31-I31)*100/I31</f>
        <v>52.700413118867203</v>
      </c>
      <c r="O31" s="171">
        <f>(K31-J31)*100/J31</f>
        <v>-16.743863227524468</v>
      </c>
    </row>
    <row r="32" spans="2:19">
      <c r="B32" s="30" t="s">
        <v>231</v>
      </c>
      <c r="C32" s="31"/>
      <c r="D32" s="31"/>
      <c r="E32" s="31"/>
      <c r="F32" s="31"/>
      <c r="G32" s="293">
        <v>4220</v>
      </c>
      <c r="H32" s="293">
        <v>4480</v>
      </c>
      <c r="I32" s="293">
        <v>3994</v>
      </c>
      <c r="J32" s="293">
        <v>3881</v>
      </c>
      <c r="K32" s="287">
        <v>3736</v>
      </c>
      <c r="L32" s="340"/>
      <c r="M32" s="188"/>
    </row>
    <row r="33" spans="2:14" ht="15.75" thickBot="1">
      <c r="B33" s="36" t="s">
        <v>96</v>
      </c>
      <c r="C33" s="37"/>
      <c r="D33" s="37"/>
      <c r="E33" s="37"/>
      <c r="F33" s="37"/>
      <c r="G33" s="38">
        <f>SUM(G31:G32)</f>
        <v>202230</v>
      </c>
      <c r="H33" s="38">
        <f>H31+H32</f>
        <v>176480</v>
      </c>
      <c r="I33" s="38">
        <f>I31+I32</f>
        <v>142695</v>
      </c>
      <c r="J33" s="38">
        <f>J31+J32</f>
        <v>215678</v>
      </c>
      <c r="K33" s="47">
        <f>K31+K32</f>
        <v>180070</v>
      </c>
      <c r="L33" s="340"/>
      <c r="M33" s="188"/>
      <c r="N33" s="171">
        <f>J31-K31</f>
        <v>35463</v>
      </c>
    </row>
    <row r="34" spans="2:14">
      <c r="L34" s="188"/>
      <c r="M34" s="188"/>
    </row>
    <row r="35" spans="2:14">
      <c r="L35" s="188"/>
      <c r="M35" s="188"/>
    </row>
    <row r="36" spans="2:14" ht="15.75" thickBot="1">
      <c r="B36" s="27" t="s">
        <v>229</v>
      </c>
      <c r="C36" s="27"/>
      <c r="D36" s="27"/>
      <c r="E36" s="27"/>
      <c r="F36" s="27"/>
      <c r="G36" s="27">
        <v>2013</v>
      </c>
      <c r="H36" s="27">
        <v>2014</v>
      </c>
      <c r="I36" s="27">
        <v>2015</v>
      </c>
      <c r="J36" s="27">
        <v>2016</v>
      </c>
      <c r="K36" s="27">
        <v>2017</v>
      </c>
      <c r="L36" s="188"/>
      <c r="M36" s="188"/>
    </row>
    <row r="37" spans="2:14">
      <c r="B37" s="9" t="s">
        <v>312</v>
      </c>
      <c r="C37" s="10"/>
      <c r="D37" s="10"/>
      <c r="E37" s="10"/>
      <c r="F37" s="10"/>
      <c r="G37" s="283">
        <v>180642</v>
      </c>
      <c r="H37" s="283">
        <v>168606</v>
      </c>
      <c r="I37" s="283">
        <v>134575</v>
      </c>
      <c r="J37" s="283">
        <v>154882</v>
      </c>
      <c r="K37" s="284">
        <v>84760</v>
      </c>
      <c r="L37" s="348"/>
      <c r="M37" s="188"/>
    </row>
    <row r="38" spans="2:14">
      <c r="B38" s="30" t="s">
        <v>315</v>
      </c>
      <c r="C38" s="31"/>
      <c r="D38" s="31"/>
      <c r="E38" s="31"/>
      <c r="F38" s="31"/>
      <c r="G38" s="294">
        <v>0.7</v>
      </c>
      <c r="H38" s="294">
        <v>0.7</v>
      </c>
      <c r="I38" s="294">
        <v>0.7</v>
      </c>
      <c r="J38" s="294">
        <v>0.7</v>
      </c>
      <c r="K38" s="302">
        <v>0.7</v>
      </c>
      <c r="L38" s="340"/>
      <c r="M38" s="188"/>
    </row>
    <row r="39" spans="2:14" ht="15.75" thickBot="1">
      <c r="B39" s="36" t="s">
        <v>96</v>
      </c>
      <c r="C39" s="37"/>
      <c r="D39" s="37"/>
      <c r="E39" s="37"/>
      <c r="F39" s="37"/>
      <c r="G39" s="38">
        <f>G37*G38</f>
        <v>126449.4</v>
      </c>
      <c r="H39" s="38">
        <f>H37*H38</f>
        <v>118024.2</v>
      </c>
      <c r="I39" s="38">
        <f>I37*I38</f>
        <v>94202.5</v>
      </c>
      <c r="J39" s="38">
        <f>J37*J38</f>
        <v>108417.4</v>
      </c>
      <c r="K39" s="39">
        <f>K37*K38</f>
        <v>59331.999999999993</v>
      </c>
      <c r="L39" s="340"/>
      <c r="M39" s="188"/>
    </row>
    <row r="40" spans="2:14">
      <c r="L40" s="188"/>
      <c r="M40" s="188"/>
    </row>
    <row r="41" spans="2:14">
      <c r="L41" s="188"/>
    </row>
    <row r="42" spans="2:14">
      <c r="L42" s="188"/>
    </row>
    <row r="43" spans="2:14">
      <c r="L43" s="188"/>
    </row>
    <row r="44" spans="2:14">
      <c r="L44" s="188"/>
    </row>
    <row r="45" spans="2:14">
      <c r="L45" s="188"/>
    </row>
    <row r="46" spans="2:14">
      <c r="L46" s="188"/>
    </row>
    <row r="47" spans="2:14">
      <c r="L47" s="188"/>
    </row>
    <row r="48" spans="2:14">
      <c r="L48" s="188"/>
    </row>
    <row r="49" spans="12:12">
      <c r="L49" s="188"/>
    </row>
    <row r="50" spans="12:12">
      <c r="L50" s="188"/>
    </row>
    <row r="51" spans="12:12">
      <c r="L51" s="188"/>
    </row>
    <row r="52" spans="12:12">
      <c r="L52" s="188"/>
    </row>
    <row r="53" spans="12:12">
      <c r="L53" s="188"/>
    </row>
    <row r="54" spans="12:12">
      <c r="L54" s="188"/>
    </row>
    <row r="55" spans="12:12">
      <c r="L55" s="188"/>
    </row>
    <row r="56" spans="12:12">
      <c r="L56" s="188"/>
    </row>
    <row r="57" spans="12:12">
      <c r="L57" s="188"/>
    </row>
    <row r="58" spans="12:12">
      <c r="L58" s="188"/>
    </row>
    <row r="59" spans="12:12">
      <c r="L59" s="188"/>
    </row>
    <row r="60" spans="12:12">
      <c r="L60" s="188"/>
    </row>
    <row r="61" spans="12:12">
      <c r="L61" s="188"/>
    </row>
    <row r="62" spans="12:12">
      <c r="L62" s="188"/>
    </row>
    <row r="63" spans="12:12">
      <c r="L63" s="188"/>
    </row>
    <row r="64" spans="12:12">
      <c r="L64" s="188"/>
    </row>
    <row r="65" spans="12:12">
      <c r="L65" s="188"/>
    </row>
    <row r="66" spans="12:12">
      <c r="L66" s="188"/>
    </row>
    <row r="67" spans="12:12">
      <c r="L67" s="188"/>
    </row>
    <row r="68" spans="12:12">
      <c r="L68" s="188"/>
    </row>
    <row r="69" spans="12:12">
      <c r="L69" s="188"/>
    </row>
    <row r="70" spans="12:12">
      <c r="L70" s="188"/>
    </row>
    <row r="71" spans="12:12">
      <c r="L71" s="188"/>
    </row>
    <row r="72" spans="12:12">
      <c r="L72" s="188"/>
    </row>
    <row r="73" spans="12:12">
      <c r="L73" s="188"/>
    </row>
    <row r="74" spans="12:12">
      <c r="L74" s="188"/>
    </row>
    <row r="75" spans="12:12">
      <c r="L75" s="188"/>
    </row>
    <row r="76" spans="12:12">
      <c r="L76" s="188"/>
    </row>
    <row r="77" spans="12:12">
      <c r="L77" s="188"/>
    </row>
    <row r="78" spans="12:12">
      <c r="L78" s="188"/>
    </row>
    <row r="79" spans="12:12">
      <c r="L79" s="188"/>
    </row>
    <row r="80" spans="12:12">
      <c r="L80" s="188"/>
    </row>
    <row r="81" spans="12:12">
      <c r="L81" s="188"/>
    </row>
    <row r="82" spans="12:12">
      <c r="L82" s="188"/>
    </row>
    <row r="83" spans="12:12">
      <c r="L83" s="188"/>
    </row>
    <row r="84" spans="12:12">
      <c r="L84" s="188"/>
    </row>
    <row r="85" spans="12:12">
      <c r="L85" s="188"/>
    </row>
    <row r="86" spans="12:12">
      <c r="L86" s="188"/>
    </row>
    <row r="87" spans="12:12">
      <c r="L87" s="188"/>
    </row>
    <row r="88" spans="12:12">
      <c r="L88" s="188"/>
    </row>
    <row r="89" spans="12:12">
      <c r="L89" s="188"/>
    </row>
    <row r="90" spans="12:12">
      <c r="L90" s="188"/>
    </row>
    <row r="91" spans="12:12">
      <c r="L91" s="188"/>
    </row>
    <row r="92" spans="12:12">
      <c r="L92" s="188"/>
    </row>
    <row r="93" spans="12:12">
      <c r="L93" s="1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Y120"/>
  <sheetViews>
    <sheetView zoomScale="70" zoomScaleNormal="70" workbookViewId="0">
      <selection activeCell="K16" sqref="K16:K17"/>
    </sheetView>
  </sheetViews>
  <sheetFormatPr defaultRowHeight="15"/>
  <cols>
    <col min="1" max="1" width="34.42578125" bestFit="1" customWidth="1"/>
    <col min="2" max="2" width="9.28515625" bestFit="1" customWidth="1"/>
    <col min="3" max="5" width="22.5703125" bestFit="1" customWidth="1"/>
    <col min="6" max="6" width="22" bestFit="1" customWidth="1"/>
    <col min="7" max="7" width="18.28515625" bestFit="1" customWidth="1"/>
    <col min="8" max="8" width="17.5703125" customWidth="1"/>
    <col min="9" max="9" width="18.7109375" bestFit="1" customWidth="1"/>
    <col min="10" max="10" width="18.7109375" customWidth="1"/>
    <col min="11" max="11" width="13.7109375" bestFit="1" customWidth="1"/>
    <col min="12" max="12" width="14.28515625" customWidth="1"/>
    <col min="13" max="13" width="16.140625" customWidth="1"/>
    <col min="14" max="14" width="11" bestFit="1" customWidth="1"/>
    <col min="17" max="17" width="11.140625" bestFit="1" customWidth="1"/>
    <col min="21" max="21" width="12" bestFit="1" customWidth="1"/>
    <col min="22" max="22" width="12.42578125" bestFit="1" customWidth="1"/>
  </cols>
  <sheetData>
    <row r="1" spans="1:25">
      <c r="C1" s="27">
        <v>2011</v>
      </c>
      <c r="D1" s="27">
        <v>2011</v>
      </c>
      <c r="E1" s="27">
        <v>2012</v>
      </c>
      <c r="F1" s="27">
        <v>2012</v>
      </c>
      <c r="G1" s="27">
        <v>2013</v>
      </c>
      <c r="H1" s="27">
        <v>2014</v>
      </c>
      <c r="I1" s="27">
        <v>2015</v>
      </c>
      <c r="J1" s="27">
        <v>2016</v>
      </c>
      <c r="K1" s="27">
        <v>2017</v>
      </c>
      <c r="L1" s="27" t="s">
        <v>263</v>
      </c>
    </row>
    <row r="2" spans="1:25" ht="15.75" thickBot="1">
      <c r="B2" t="s">
        <v>53</v>
      </c>
      <c r="C2" t="s">
        <v>151</v>
      </c>
      <c r="D2" t="s">
        <v>152</v>
      </c>
      <c r="E2" t="s">
        <v>58</v>
      </c>
      <c r="F2" t="s">
        <v>59</v>
      </c>
      <c r="G2" t="s">
        <v>59</v>
      </c>
      <c r="H2" t="s">
        <v>59</v>
      </c>
      <c r="I2" t="s">
        <v>59</v>
      </c>
      <c r="K2" t="s">
        <v>59</v>
      </c>
    </row>
    <row r="3" spans="1:25" ht="15.75" thickBot="1">
      <c r="A3" s="23" t="s">
        <v>52</v>
      </c>
      <c r="B3" s="24">
        <v>3037</v>
      </c>
      <c r="C3" s="48">
        <v>2733</v>
      </c>
      <c r="D3" s="48">
        <v>2733</v>
      </c>
      <c r="E3" s="48">
        <v>2918</v>
      </c>
      <c r="F3" s="48">
        <v>2918</v>
      </c>
      <c r="G3" s="48">
        <v>2890</v>
      </c>
      <c r="H3" s="48">
        <v>2479</v>
      </c>
      <c r="I3" s="48">
        <v>2613</v>
      </c>
      <c r="J3" s="48">
        <v>2715</v>
      </c>
      <c r="K3" s="49">
        <v>2705</v>
      </c>
      <c r="L3" s="385"/>
      <c r="M3" s="1" t="s">
        <v>269</v>
      </c>
    </row>
    <row r="4" spans="1:25">
      <c r="B4" s="3"/>
      <c r="C4" s="3"/>
      <c r="D4" s="3"/>
      <c r="E4" s="3"/>
      <c r="F4" s="3"/>
      <c r="G4" s="3"/>
      <c r="H4" s="3"/>
      <c r="I4" s="3"/>
      <c r="J4" s="3"/>
      <c r="L4" s="188"/>
    </row>
    <row r="5" spans="1:25" ht="15.75" thickBot="1">
      <c r="B5" s="27" t="s">
        <v>55</v>
      </c>
      <c r="L5" s="188"/>
    </row>
    <row r="6" spans="1:25" ht="15.75" thickBot="1">
      <c r="A6" s="23" t="s">
        <v>17</v>
      </c>
      <c r="B6" s="26" t="s">
        <v>56</v>
      </c>
      <c r="C6" s="48">
        <v>111.99209622017297</v>
      </c>
      <c r="D6" s="48">
        <v>110.00255316096097</v>
      </c>
      <c r="E6" s="48">
        <v>108</v>
      </c>
      <c r="F6" s="48">
        <v>109</v>
      </c>
      <c r="G6" s="48">
        <v>106</v>
      </c>
      <c r="H6" s="48">
        <v>100</v>
      </c>
      <c r="I6" s="48">
        <v>100</v>
      </c>
      <c r="J6" s="48">
        <v>96</v>
      </c>
      <c r="K6" s="49">
        <v>79</v>
      </c>
      <c r="L6" s="387"/>
      <c r="M6" s="391"/>
      <c r="N6" s="391"/>
    </row>
    <row r="7" spans="1:25">
      <c r="C7" s="3"/>
      <c r="D7" s="3"/>
      <c r="E7" s="3"/>
      <c r="F7" s="3"/>
      <c r="G7" s="3"/>
      <c r="H7" s="3"/>
      <c r="I7" s="3"/>
      <c r="J7" s="3"/>
      <c r="K7" s="3"/>
      <c r="L7" s="270"/>
      <c r="M7" s="391"/>
    </row>
    <row r="8" spans="1:25">
      <c r="C8" s="3"/>
      <c r="D8" s="3"/>
      <c r="E8" s="3"/>
      <c r="F8" s="3"/>
      <c r="G8" s="3"/>
      <c r="H8" s="3"/>
      <c r="I8" s="3"/>
      <c r="J8" s="3"/>
      <c r="K8" s="3"/>
      <c r="L8" s="270"/>
      <c r="M8" s="391"/>
    </row>
    <row r="9" spans="1:25" ht="15.75" thickBot="1">
      <c r="A9" s="50" t="s">
        <v>18</v>
      </c>
      <c r="B9" s="31"/>
      <c r="C9" s="32"/>
      <c r="D9" s="32"/>
      <c r="E9" s="32"/>
      <c r="F9" s="32"/>
      <c r="G9" s="32"/>
      <c r="H9" s="32"/>
      <c r="I9" s="32"/>
      <c r="J9" s="32"/>
      <c r="K9" s="3"/>
      <c r="L9" s="270"/>
      <c r="M9" s="391"/>
    </row>
    <row r="10" spans="1:25">
      <c r="A10" s="9" t="s">
        <v>19</v>
      </c>
      <c r="B10" s="10" t="s">
        <v>25</v>
      </c>
      <c r="C10" s="54">
        <v>425.113</v>
      </c>
      <c r="D10" s="54">
        <v>425.113</v>
      </c>
      <c r="E10" s="54">
        <v>506</v>
      </c>
      <c r="F10" s="54">
        <f>E10</f>
        <v>506</v>
      </c>
      <c r="G10" s="54">
        <v>356.404</v>
      </c>
      <c r="H10" s="54">
        <v>330.13200000000001</v>
      </c>
      <c r="I10" s="54">
        <v>311.57900000000001</v>
      </c>
      <c r="J10" s="54">
        <v>246.52105382021509</v>
      </c>
      <c r="K10" s="214">
        <v>294.75900000000001</v>
      </c>
      <c r="L10" s="387"/>
      <c r="M10" s="391"/>
      <c r="N10" s="391"/>
    </row>
    <row r="11" spans="1:25">
      <c r="A11" s="30" t="s">
        <v>20</v>
      </c>
      <c r="B11" s="31" t="s">
        <v>25</v>
      </c>
      <c r="C11" s="55">
        <v>994.63499999999999</v>
      </c>
      <c r="D11" s="55">
        <v>994.63499999999999</v>
      </c>
      <c r="E11" s="55">
        <v>1097</v>
      </c>
      <c r="F11" s="55">
        <f>E11</f>
        <v>1097</v>
      </c>
      <c r="G11" s="55">
        <v>983.476</v>
      </c>
      <c r="H11" s="55">
        <v>949.09799999999996</v>
      </c>
      <c r="I11" s="55">
        <v>909.00199999999995</v>
      </c>
      <c r="J11" s="55">
        <v>893.66319338987148</v>
      </c>
      <c r="K11" s="56">
        <v>884.8</v>
      </c>
      <c r="L11" s="387"/>
      <c r="M11" s="391"/>
      <c r="N11" s="391"/>
    </row>
    <row r="12" spans="1:25">
      <c r="A12" s="30" t="s">
        <v>21</v>
      </c>
      <c r="B12" s="31" t="s">
        <v>25</v>
      </c>
      <c r="C12" s="55">
        <v>2691.2570000000001</v>
      </c>
      <c r="D12" s="55">
        <v>2691.2570000000001</v>
      </c>
      <c r="E12" s="55">
        <v>2686</v>
      </c>
      <c r="F12" s="55">
        <f>E12</f>
        <v>2686</v>
      </c>
      <c r="G12" s="55">
        <v>2994.7710000000002</v>
      </c>
      <c r="H12" s="55">
        <v>2426.7840000000001</v>
      </c>
      <c r="I12" s="55">
        <v>2746.712</v>
      </c>
      <c r="J12" s="55">
        <v>3017.7959722449364</v>
      </c>
      <c r="K12" s="56">
        <v>2977.2449999999999</v>
      </c>
      <c r="L12" s="387"/>
      <c r="M12" s="391"/>
      <c r="N12" s="391"/>
    </row>
    <row r="13" spans="1:25">
      <c r="A13" s="30" t="s">
        <v>22</v>
      </c>
      <c r="B13" s="31" t="s">
        <v>25</v>
      </c>
      <c r="C13" s="53">
        <v>154.29599999999999</v>
      </c>
      <c r="D13" s="53">
        <v>154.29599999999999</v>
      </c>
      <c r="E13" s="53">
        <v>173</v>
      </c>
      <c r="F13" s="53">
        <f>E13</f>
        <v>173</v>
      </c>
      <c r="G13" s="53">
        <v>148.35</v>
      </c>
      <c r="H13" s="53">
        <v>135.98599999999999</v>
      </c>
      <c r="I13" s="53">
        <v>125.71</v>
      </c>
      <c r="J13" s="53">
        <v>122.01978054497738</v>
      </c>
      <c r="K13" s="57">
        <v>120.798</v>
      </c>
      <c r="L13" s="387"/>
      <c r="M13" s="391"/>
      <c r="N13" s="391"/>
      <c r="W13" s="171"/>
    </row>
    <row r="14" spans="1:25">
      <c r="A14" s="34" t="s">
        <v>65</v>
      </c>
      <c r="B14" s="8" t="s">
        <v>25</v>
      </c>
      <c r="C14" s="7">
        <f t="shared" ref="C14:H14" si="0">SUM(C10:C13)</f>
        <v>4265.3010000000004</v>
      </c>
      <c r="D14" s="7">
        <f t="shared" si="0"/>
        <v>4265.3010000000004</v>
      </c>
      <c r="E14" s="7">
        <f t="shared" si="0"/>
        <v>4462</v>
      </c>
      <c r="F14" s="7">
        <f t="shared" si="0"/>
        <v>4462</v>
      </c>
      <c r="G14" s="7">
        <f t="shared" si="0"/>
        <v>4483.0010000000002</v>
      </c>
      <c r="H14" s="7">
        <f t="shared" si="0"/>
        <v>3842</v>
      </c>
      <c r="I14" s="7">
        <f t="shared" ref="I14" si="1">SUM(I10:I13)</f>
        <v>4093.0029999999997</v>
      </c>
      <c r="J14" s="7">
        <f>SUM(J10:J13)</f>
        <v>4280</v>
      </c>
      <c r="K14" s="35">
        <f>SUM(K10:K13)</f>
        <v>4277.6019999999999</v>
      </c>
      <c r="L14" s="387"/>
      <c r="M14" s="391"/>
      <c r="N14" s="391"/>
    </row>
    <row r="15" spans="1:2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3"/>
      <c r="L15" s="387"/>
      <c r="M15" s="6"/>
      <c r="N15" s="391"/>
    </row>
    <row r="16" spans="1:25">
      <c r="A16" s="30" t="str">
        <f>A10</f>
        <v>Offentlige instutioner</v>
      </c>
      <c r="B16" s="31" t="s">
        <v>71</v>
      </c>
      <c r="C16" s="32">
        <f t="shared" ref="C16" si="2">C$6*C10</f>
        <v>47609.296000446389</v>
      </c>
      <c r="D16" s="32">
        <f t="shared" ref="D16:F19" si="3">D$6*D10</f>
        <v>46763.515381915604</v>
      </c>
      <c r="E16" s="32">
        <f t="shared" si="3"/>
        <v>54648</v>
      </c>
      <c r="F16" s="32">
        <f t="shared" si="3"/>
        <v>55154</v>
      </c>
      <c r="G16" s="32">
        <f t="shared" ref="G16:H19" si="4">G$6*G10</f>
        <v>37778.824000000001</v>
      </c>
      <c r="H16" s="32">
        <f t="shared" si="4"/>
        <v>33013.199999999997</v>
      </c>
      <c r="I16" s="32">
        <f>I$6*I10</f>
        <v>31157.9</v>
      </c>
      <c r="J16" s="32">
        <f>J$6*J10</f>
        <v>23666.021166740647</v>
      </c>
      <c r="K16" s="33">
        <f>K$6*K10</f>
        <v>23285.961000000003</v>
      </c>
      <c r="L16" s="387"/>
      <c r="M16" s="6"/>
      <c r="N16" s="391"/>
      <c r="S16" s="356"/>
      <c r="T16" s="356"/>
      <c r="U16" s="356"/>
      <c r="V16" s="356"/>
      <c r="X16" s="263"/>
      <c r="Y16" s="263"/>
    </row>
    <row r="17" spans="1:25">
      <c r="A17" s="30" t="str">
        <f>A11</f>
        <v>Handel &amp; service</v>
      </c>
      <c r="B17" s="31" t="str">
        <f>B16</f>
        <v>Ton</v>
      </c>
      <c r="C17" s="32">
        <f t="shared" ref="C17" si="5">C$6*C11</f>
        <v>111391.25862395174</v>
      </c>
      <c r="D17" s="32">
        <f t="shared" si="3"/>
        <v>109412.38946325242</v>
      </c>
      <c r="E17" s="32">
        <f t="shared" si="3"/>
        <v>118476</v>
      </c>
      <c r="F17" s="32">
        <f t="shared" si="3"/>
        <v>119573</v>
      </c>
      <c r="G17" s="32">
        <f t="shared" si="4"/>
        <v>104248.45600000001</v>
      </c>
      <c r="H17" s="32">
        <f t="shared" si="4"/>
        <v>94909.799999999988</v>
      </c>
      <c r="I17" s="32">
        <f t="shared" ref="I17" si="6">I$6*I11</f>
        <v>90900.2</v>
      </c>
      <c r="J17" s="32">
        <f t="shared" ref="J17:K19" si="7">J$6*J11</f>
        <v>85791.666565427658</v>
      </c>
      <c r="K17" s="33">
        <f t="shared" si="7"/>
        <v>69899.199999999997</v>
      </c>
      <c r="L17" s="387"/>
      <c r="M17" s="6"/>
      <c r="N17" s="391"/>
      <c r="S17" s="356"/>
      <c r="T17" s="356"/>
      <c r="U17" s="356"/>
      <c r="V17" s="356"/>
      <c r="X17" s="263"/>
      <c r="Y17" s="263"/>
    </row>
    <row r="18" spans="1:25">
      <c r="A18" s="30" t="str">
        <f>A12</f>
        <v>Boliger</v>
      </c>
      <c r="B18" s="31" t="str">
        <f>B17</f>
        <v>Ton</v>
      </c>
      <c r="C18" s="32">
        <f t="shared" ref="C18" si="8">C$6*C12</f>
        <v>301399.51289721404</v>
      </c>
      <c r="D18" s="32">
        <f t="shared" si="3"/>
        <v>296045.14121230837</v>
      </c>
      <c r="E18" s="32">
        <f t="shared" si="3"/>
        <v>290088</v>
      </c>
      <c r="F18" s="32">
        <f t="shared" si="3"/>
        <v>292774</v>
      </c>
      <c r="G18" s="32">
        <f t="shared" si="4"/>
        <v>317445.72600000002</v>
      </c>
      <c r="H18" s="32">
        <f t="shared" si="4"/>
        <v>242678.40000000002</v>
      </c>
      <c r="I18" s="32">
        <f>I$6*I12</f>
        <v>274671.2</v>
      </c>
      <c r="J18" s="32">
        <f t="shared" si="7"/>
        <v>289708.41333551391</v>
      </c>
      <c r="K18" s="33">
        <f t="shared" si="7"/>
        <v>235202.35499999998</v>
      </c>
      <c r="L18" s="387"/>
      <c r="M18" s="6"/>
      <c r="N18" s="391"/>
      <c r="S18" s="356"/>
      <c r="T18" s="356"/>
      <c r="U18" s="356"/>
      <c r="V18" s="356"/>
      <c r="X18" s="263"/>
      <c r="Y18" s="263"/>
    </row>
    <row r="19" spans="1:25">
      <c r="A19" s="30" t="str">
        <f>A13</f>
        <v xml:space="preserve">Industri  </v>
      </c>
      <c r="B19" s="31" t="str">
        <f>B18</f>
        <v>Ton</v>
      </c>
      <c r="C19" s="32">
        <f t="shared" ref="C19" si="9">C$6*C13</f>
        <v>17279.932478387807</v>
      </c>
      <c r="D19" s="32">
        <f t="shared" si="3"/>
        <v>16972.953942523633</v>
      </c>
      <c r="E19" s="32">
        <f t="shared" si="3"/>
        <v>18684</v>
      </c>
      <c r="F19" s="32">
        <f t="shared" si="3"/>
        <v>18857</v>
      </c>
      <c r="G19" s="32">
        <f t="shared" si="4"/>
        <v>15725.099999999999</v>
      </c>
      <c r="H19" s="32">
        <f t="shared" si="4"/>
        <v>13598.599999999999</v>
      </c>
      <c r="I19" s="32">
        <f>I$6*I13</f>
        <v>12571</v>
      </c>
      <c r="J19" s="32">
        <f t="shared" si="7"/>
        <v>11713.898932317828</v>
      </c>
      <c r="K19" s="33">
        <f t="shared" si="7"/>
        <v>9543.0419999999995</v>
      </c>
      <c r="L19" s="387"/>
      <c r="M19" s="6"/>
      <c r="N19" s="391"/>
      <c r="S19" s="356"/>
      <c r="T19" s="356"/>
      <c r="U19" s="356"/>
      <c r="V19" s="356"/>
      <c r="X19" s="263"/>
      <c r="Y19" s="263"/>
    </row>
    <row r="20" spans="1:25" ht="15.75" thickBot="1">
      <c r="A20" s="36" t="s">
        <v>66</v>
      </c>
      <c r="B20" s="37" t="str">
        <f>B19</f>
        <v>Ton</v>
      </c>
      <c r="C20" s="191">
        <f t="shared" ref="C20:G20" si="10">SUM(C16:C19)</f>
        <v>477679.99999999994</v>
      </c>
      <c r="D20" s="38">
        <f t="shared" si="10"/>
        <v>469194.00000000006</v>
      </c>
      <c r="E20" s="38">
        <f t="shared" si="10"/>
        <v>481896</v>
      </c>
      <c r="F20" s="38">
        <f t="shared" si="10"/>
        <v>486358</v>
      </c>
      <c r="G20" s="38">
        <f t="shared" si="10"/>
        <v>475198.10600000003</v>
      </c>
      <c r="H20" s="38">
        <f>SUM(H16:H19)</f>
        <v>384200</v>
      </c>
      <c r="I20" s="38">
        <f>SUM(I16:I19)</f>
        <v>409300.30000000005</v>
      </c>
      <c r="J20" s="38">
        <f>SUM(J16:J19)</f>
        <v>410880.00000000006</v>
      </c>
      <c r="K20" s="39">
        <f>SUM(K16:K19)</f>
        <v>337930.55799999996</v>
      </c>
      <c r="L20" s="387"/>
      <c r="M20" s="6"/>
      <c r="N20" s="391"/>
      <c r="S20" s="356"/>
      <c r="T20" s="356"/>
      <c r="U20" s="356"/>
      <c r="V20" s="356"/>
      <c r="X20" s="263"/>
      <c r="Y20" s="263"/>
    </row>
    <row r="21" spans="1:25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"/>
      <c r="L21" s="387"/>
    </row>
    <row r="22" spans="1:25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"/>
      <c r="L22" s="387"/>
    </row>
    <row r="23" spans="1:25" ht="15.75" thickBot="1">
      <c r="A23" s="50" t="s">
        <v>23</v>
      </c>
      <c r="B23" s="31"/>
      <c r="C23" s="32"/>
      <c r="D23" s="32"/>
      <c r="E23" s="32"/>
      <c r="F23" s="32"/>
      <c r="G23" s="32"/>
      <c r="H23" s="32"/>
      <c r="I23" s="32"/>
      <c r="J23" s="32"/>
      <c r="K23" s="3"/>
      <c r="L23" s="387"/>
    </row>
    <row r="24" spans="1:25">
      <c r="A24" s="9" t="str">
        <f>A10</f>
        <v>Offentlige instutioner</v>
      </c>
      <c r="B24" s="10" t="str">
        <f>B10</f>
        <v>GWh</v>
      </c>
      <c r="C24" s="28">
        <f t="shared" ref="C24" si="11">C10*(0.3+0.7*$B$3/C$3)</f>
        <v>458.21363900475666</v>
      </c>
      <c r="D24" s="28">
        <f t="shared" ref="D24:G27" si="12">D10*(0.3+0.7*$B$3/D$3)</f>
        <v>458.21363900475666</v>
      </c>
      <c r="E24" s="28">
        <f t="shared" si="12"/>
        <v>520.44475668265943</v>
      </c>
      <c r="F24" s="28">
        <f t="shared" si="12"/>
        <v>520.44475668265943</v>
      </c>
      <c r="G24" s="28">
        <f t="shared" si="12"/>
        <v>369.09395557093421</v>
      </c>
      <c r="H24" s="28">
        <f>H10*(0.3+0.7*$B$3/H$3)</f>
        <v>382.14876450181526</v>
      </c>
      <c r="I24" s="28">
        <f>I10*(0.3+0.7*$B$3/I$3)</f>
        <v>346.96998629927288</v>
      </c>
      <c r="J24" s="28">
        <f>J10*(0.3+0.7*$B$3/J$3)</f>
        <v>266.98729526812542</v>
      </c>
      <c r="K24" s="29">
        <f>K10*(0.3+0.7*$B$3/K$3)</f>
        <v>320.08321131238449</v>
      </c>
      <c r="L24" s="387"/>
      <c r="M24" s="6"/>
      <c r="N24" s="6"/>
    </row>
    <row r="25" spans="1:25">
      <c r="A25" s="30" t="str">
        <f>A11</f>
        <v>Handel &amp; service</v>
      </c>
      <c r="B25" s="31" t="str">
        <f>B24</f>
        <v>GWh</v>
      </c>
      <c r="C25" s="32">
        <f t="shared" ref="C25" si="13">C11*(0.3+0.7*$B$3/C$3)</f>
        <v>1072.0804182217344</v>
      </c>
      <c r="D25" s="32">
        <f t="shared" si="12"/>
        <v>1072.0804182217344</v>
      </c>
      <c r="E25" s="32">
        <f t="shared" si="12"/>
        <v>1128.3160041124058</v>
      </c>
      <c r="F25" s="32">
        <f t="shared" si="12"/>
        <v>1128.3160041124058</v>
      </c>
      <c r="G25" s="32">
        <f t="shared" si="12"/>
        <v>1018.4931904498269</v>
      </c>
      <c r="H25" s="32">
        <f t="shared" ref="H25:I25" si="14">H11*(0.3+0.7*$B$3/H$3)</f>
        <v>1098.6412346914078</v>
      </c>
      <c r="I25" s="32">
        <f t="shared" si="14"/>
        <v>1012.2518253348641</v>
      </c>
      <c r="J25" s="32">
        <f t="shared" ref="J25:K27" si="15">J11*(0.3+0.7*$B$3/J$3)</f>
        <v>967.85534211549839</v>
      </c>
      <c r="K25" s="33">
        <f t="shared" si="15"/>
        <v>960.81756746765245</v>
      </c>
      <c r="L25" s="387"/>
      <c r="M25" s="6"/>
      <c r="N25" s="6"/>
    </row>
    <row r="26" spans="1:25">
      <c r="A26" s="30" t="str">
        <f>A12</f>
        <v>Boliger</v>
      </c>
      <c r="B26" s="31" t="str">
        <f>B25</f>
        <v>GWh</v>
      </c>
      <c r="C26" s="32">
        <f t="shared" ref="C26" si="16">C12*(0.3+0.7*$B$3/C$3)</f>
        <v>2900.8067583607758</v>
      </c>
      <c r="D26" s="32">
        <f t="shared" si="12"/>
        <v>2900.8067583607758</v>
      </c>
      <c r="E26" s="32">
        <f t="shared" si="12"/>
        <v>2762.6771076079508</v>
      </c>
      <c r="F26" s="32">
        <f t="shared" si="12"/>
        <v>2762.6771076079508</v>
      </c>
      <c r="G26" s="32">
        <f t="shared" si="12"/>
        <v>3101.4014276470589</v>
      </c>
      <c r="H26" s="32">
        <f t="shared" ref="H26:I26" si="17">H12*(0.3+0.7*$B$3/H$3)</f>
        <v>2809.1566625252117</v>
      </c>
      <c r="I26" s="32">
        <f t="shared" si="17"/>
        <v>3058.6998000765402</v>
      </c>
      <c r="J26" s="32">
        <f t="shared" si="15"/>
        <v>3268.3341719296541</v>
      </c>
      <c r="K26" s="33">
        <f t="shared" si="15"/>
        <v>3233.0349216266172</v>
      </c>
      <c r="L26" s="387"/>
      <c r="M26" s="6"/>
      <c r="N26" s="6"/>
    </row>
    <row r="27" spans="1:25">
      <c r="A27" s="30" t="str">
        <f>A13</f>
        <v xml:space="preserve">Industri  </v>
      </c>
      <c r="B27" s="31" t="str">
        <f>B26</f>
        <v>GWh</v>
      </c>
      <c r="C27" s="32">
        <f t="shared" ref="C27" si="18">C13*(0.3+0.7*$B$3/C$3)</f>
        <v>166.30997321624588</v>
      </c>
      <c r="D27" s="32">
        <f t="shared" si="12"/>
        <v>166.30997321624588</v>
      </c>
      <c r="E27" s="32">
        <f t="shared" si="12"/>
        <v>177.93862234407129</v>
      </c>
      <c r="F27" s="32">
        <f t="shared" si="12"/>
        <v>177.93862234407129</v>
      </c>
      <c r="G27" s="32">
        <f t="shared" si="12"/>
        <v>153.63208131487889</v>
      </c>
      <c r="H27" s="32">
        <f t="shared" ref="H27" si="19">H13*(0.3+0.7*$B$3/H$3)</f>
        <v>157.41243469140781</v>
      </c>
      <c r="I27" s="32">
        <f>I13*(0.3+0.7*$B$3/I$3)</f>
        <v>139.98888557213928</v>
      </c>
      <c r="J27" s="32">
        <f t="shared" si="15"/>
        <v>132.14989418580166</v>
      </c>
      <c r="K27" s="33">
        <f t="shared" si="15"/>
        <v>131.17635682070241</v>
      </c>
      <c r="L27" s="387"/>
      <c r="M27" s="6"/>
      <c r="N27" s="6"/>
    </row>
    <row r="28" spans="1:25">
      <c r="A28" s="34" t="str">
        <f>A14</f>
        <v>Sum Fjernvarmeforbrug</v>
      </c>
      <c r="B28" s="8" t="str">
        <f>B27</f>
        <v>GWh</v>
      </c>
      <c r="C28" s="7">
        <f t="shared" ref="C28:H28" si="20">SUM(C24:C27)</f>
        <v>4597.4107888035123</v>
      </c>
      <c r="D28" s="7">
        <f t="shared" si="20"/>
        <v>4597.4107888035123</v>
      </c>
      <c r="E28" s="7">
        <f t="shared" si="20"/>
        <v>4589.3764907470877</v>
      </c>
      <c r="F28" s="7">
        <f t="shared" si="20"/>
        <v>4589.3764907470877</v>
      </c>
      <c r="G28" s="7">
        <f t="shared" si="20"/>
        <v>4642.6206549826984</v>
      </c>
      <c r="H28" s="7">
        <f t="shared" si="20"/>
        <v>4447.359096409843</v>
      </c>
      <c r="I28" s="7">
        <f t="shared" ref="I28:K28" si="21">SUM(I24:I27)</f>
        <v>4557.9104972828163</v>
      </c>
      <c r="J28" s="7">
        <f t="shared" ref="J28" si="22">SUM(J24:J27)</f>
        <v>4635.3267034990795</v>
      </c>
      <c r="K28" s="35">
        <f t="shared" si="21"/>
        <v>4645.1120572273567</v>
      </c>
      <c r="L28" s="387"/>
      <c r="M28" s="6"/>
      <c r="N28" s="391"/>
    </row>
    <row r="29" spans="1:25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3"/>
      <c r="L29" s="387"/>
      <c r="M29" s="6"/>
    </row>
    <row r="30" spans="1:25">
      <c r="A30" s="30" t="str">
        <f>A16</f>
        <v>Offentlige instutioner</v>
      </c>
      <c r="B30" s="31" t="s">
        <v>71</v>
      </c>
      <c r="C30" s="32">
        <f t="shared" ref="C30" si="23">C$6*C24</f>
        <v>51316.305948816305</v>
      </c>
      <c r="D30" s="32">
        <f t="shared" ref="D30:G33" si="24">D$6*D24</f>
        <v>50404.670183698123</v>
      </c>
      <c r="E30" s="32">
        <f t="shared" si="24"/>
        <v>56208.033721727217</v>
      </c>
      <c r="F30" s="32">
        <f t="shared" si="24"/>
        <v>56728.478478409881</v>
      </c>
      <c r="G30" s="32">
        <f t="shared" si="24"/>
        <v>39123.959290519029</v>
      </c>
      <c r="H30" s="32">
        <f>H$6*H24</f>
        <v>38214.876450181524</v>
      </c>
      <c r="I30" s="32">
        <f>I$6*I24</f>
        <v>34696.998629927286</v>
      </c>
      <c r="J30" s="32">
        <f>J$6*J24</f>
        <v>25630.780345740041</v>
      </c>
      <c r="K30" s="33">
        <f>K$6*K24</f>
        <v>25286.573693678376</v>
      </c>
      <c r="L30" s="387"/>
      <c r="M30" s="6"/>
      <c r="N30" s="6"/>
      <c r="Q30" s="493">
        <f>K28</f>
        <v>4645.1120572273567</v>
      </c>
    </row>
    <row r="31" spans="1:25">
      <c r="A31" s="30" t="str">
        <f>A17</f>
        <v>Handel &amp; service</v>
      </c>
      <c r="B31" s="31" t="str">
        <f>B30</f>
        <v>Ton</v>
      </c>
      <c r="C31" s="32">
        <f t="shared" ref="C31" si="25">C$6*C25</f>
        <v>120064.53335325175</v>
      </c>
      <c r="D31" s="32">
        <f t="shared" si="24"/>
        <v>117931.58319826161</v>
      </c>
      <c r="E31" s="32">
        <f t="shared" si="24"/>
        <v>121858.12844413983</v>
      </c>
      <c r="F31" s="32">
        <f t="shared" si="24"/>
        <v>122986.44444825224</v>
      </c>
      <c r="G31" s="32">
        <f t="shared" si="24"/>
        <v>107960.27818768164</v>
      </c>
      <c r="H31" s="32">
        <f t="shared" ref="H31:I31" si="26">H$6*H25</f>
        <v>109864.12346914079</v>
      </c>
      <c r="I31" s="32">
        <f t="shared" si="26"/>
        <v>101225.18253348641</v>
      </c>
      <c r="J31" s="32">
        <f>J$6*J25</f>
        <v>92914.112843087845</v>
      </c>
      <c r="K31" s="33">
        <f>K$6*K25</f>
        <v>75904.587829944547</v>
      </c>
      <c r="L31" s="387"/>
      <c r="M31" s="6"/>
      <c r="N31" s="6"/>
    </row>
    <row r="32" spans="1:25">
      <c r="A32" s="30" t="str">
        <f>A18</f>
        <v>Boliger</v>
      </c>
      <c r="B32" s="31" t="str">
        <f>B31</f>
        <v>Ton</v>
      </c>
      <c r="C32" s="32">
        <f t="shared" ref="C32" si="27">C$6*C26</f>
        <v>324867.42959846806</v>
      </c>
      <c r="D32" s="32">
        <f t="shared" si="24"/>
        <v>319096.14964625612</v>
      </c>
      <c r="E32" s="32">
        <f t="shared" si="24"/>
        <v>298369.12762165867</v>
      </c>
      <c r="F32" s="32">
        <f t="shared" si="24"/>
        <v>301131.80472926662</v>
      </c>
      <c r="G32" s="32">
        <f t="shared" si="24"/>
        <v>328748.55133058823</v>
      </c>
      <c r="H32" s="32">
        <f t="shared" ref="H32:I32" si="28">H$6*H26</f>
        <v>280915.66625252116</v>
      </c>
      <c r="I32" s="32">
        <f t="shared" si="28"/>
        <v>305869.980007654</v>
      </c>
      <c r="J32" s="32">
        <f t="shared" ref="J32:K32" si="29">J$6*J26</f>
        <v>313760.08050524676</v>
      </c>
      <c r="K32" s="33">
        <f t="shared" si="29"/>
        <v>255409.75880850275</v>
      </c>
      <c r="L32" s="387"/>
      <c r="M32" s="6"/>
      <c r="N32" s="6"/>
    </row>
    <row r="33" spans="1:21">
      <c r="A33" s="30" t="str">
        <f>A19</f>
        <v xml:space="preserve">Industri  </v>
      </c>
      <c r="B33" s="31" t="str">
        <f>B32</f>
        <v>Ton</v>
      </c>
      <c r="C33" s="32">
        <f t="shared" ref="C33" si="30">C$6*C27</f>
        <v>18625.402522808199</v>
      </c>
      <c r="D33" s="32">
        <f t="shared" si="24"/>
        <v>18294.521669918082</v>
      </c>
      <c r="E33" s="32">
        <f t="shared" si="24"/>
        <v>19217.371213159699</v>
      </c>
      <c r="F33" s="32">
        <f t="shared" si="24"/>
        <v>19395.309835503769</v>
      </c>
      <c r="G33" s="32">
        <f t="shared" si="24"/>
        <v>16285.000619377162</v>
      </c>
      <c r="H33" s="32">
        <f t="shared" ref="H33:I33" si="31">H$6*H27</f>
        <v>15741.243469140782</v>
      </c>
      <c r="I33" s="32">
        <f t="shared" si="31"/>
        <v>13998.888557213928</v>
      </c>
      <c r="J33" s="32">
        <f t="shared" ref="J33:K33" si="32">J$6*J27</f>
        <v>12686.389841836959</v>
      </c>
      <c r="K33" s="33">
        <f t="shared" si="32"/>
        <v>10362.93218883549</v>
      </c>
      <c r="L33" s="387"/>
      <c r="M33" s="6"/>
      <c r="N33" s="6"/>
    </row>
    <row r="34" spans="1:21" ht="15.75" thickBot="1">
      <c r="A34" s="36" t="str">
        <f>A20</f>
        <v>Sum CO₂-emission</v>
      </c>
      <c r="B34" s="37" t="str">
        <f>B33</f>
        <v>Ton</v>
      </c>
      <c r="C34" s="38">
        <f t="shared" ref="C34:G34" si="33">SUM(C30:C33)</f>
        <v>514873.67142334429</v>
      </c>
      <c r="D34" s="38">
        <f t="shared" si="33"/>
        <v>505726.92469813395</v>
      </c>
      <c r="E34" s="38">
        <f t="shared" si="33"/>
        <v>495652.66100068542</v>
      </c>
      <c r="F34" s="38">
        <f t="shared" si="33"/>
        <v>500242.03749143245</v>
      </c>
      <c r="G34" s="38">
        <f t="shared" si="33"/>
        <v>492117.78942816606</v>
      </c>
      <c r="H34" s="38">
        <f>SUM(H30:H33)</f>
        <v>444735.90964098426</v>
      </c>
      <c r="I34" s="38">
        <f>SUM(I30:I33)</f>
        <v>455791.04972828162</v>
      </c>
      <c r="J34" s="38">
        <f>SUM(J30:J33)</f>
        <v>444991.3635359116</v>
      </c>
      <c r="K34" s="39">
        <f>SUM(K30:K33)</f>
        <v>366963.8525209612</v>
      </c>
      <c r="L34" s="387"/>
      <c r="M34" s="6"/>
      <c r="N34" s="6"/>
    </row>
    <row r="35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L35" s="172"/>
    </row>
    <row r="36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L36" s="172"/>
    </row>
    <row r="37" spans="1:21" ht="15.75" thickBot="1">
      <c r="A37" s="31" t="s">
        <v>24</v>
      </c>
      <c r="B37" s="31"/>
      <c r="C37" s="31"/>
      <c r="D37" s="31"/>
      <c r="E37" s="31"/>
      <c r="F37" s="31"/>
      <c r="G37" s="31"/>
      <c r="H37" s="31"/>
      <c r="I37" s="31"/>
      <c r="J37" s="31"/>
      <c r="L37" s="188"/>
      <c r="S37">
        <f>2977/0.986</f>
        <v>3019.2697768762678</v>
      </c>
      <c r="T37">
        <f>1-0.986</f>
        <v>1.4000000000000012E-2</v>
      </c>
      <c r="U37">
        <f>S37*T37</f>
        <v>42.269776876267784</v>
      </c>
    </row>
    <row r="38" spans="1:21">
      <c r="A38" s="9" t="s">
        <v>57</v>
      </c>
      <c r="B38" s="10"/>
      <c r="C38" s="58">
        <f>D38</f>
        <v>0.98</v>
      </c>
      <c r="D38" s="58">
        <f>Forudsætninger!E5</f>
        <v>0.98</v>
      </c>
      <c r="E38" s="58">
        <f>Forudsætninger!F5</f>
        <v>0.98</v>
      </c>
      <c r="F38" s="58">
        <f>Forudsætninger!F5</f>
        <v>0.98</v>
      </c>
      <c r="G38" s="58">
        <f>Forudsætninger!G5</f>
        <v>0.98</v>
      </c>
      <c r="H38" s="58">
        <f>Forudsætninger!H5</f>
        <v>0.98</v>
      </c>
      <c r="I38" s="58">
        <f>Forudsætninger!I5</f>
        <v>0.98599999999999999</v>
      </c>
      <c r="J38" s="58">
        <f>Forudsætninger!I5</f>
        <v>0.98599999999999999</v>
      </c>
      <c r="K38" s="59">
        <f>Forudsætninger!J5</f>
        <v>0.98599999999999999</v>
      </c>
      <c r="L38" s="340"/>
    </row>
    <row r="39" spans="1:21">
      <c r="A39" s="11" t="s">
        <v>18</v>
      </c>
      <c r="B39" s="12"/>
      <c r="C39" s="13"/>
      <c r="D39" s="13"/>
      <c r="E39" s="13"/>
      <c r="F39" s="13"/>
      <c r="G39" s="13"/>
      <c r="H39" s="13"/>
      <c r="I39" s="13"/>
      <c r="J39" s="13"/>
      <c r="K39" s="14"/>
      <c r="L39" s="340"/>
      <c r="N39" s="171"/>
    </row>
    <row r="40" spans="1:21">
      <c r="A40" s="15" t="s">
        <v>24</v>
      </c>
      <c r="B40" s="16" t="str">
        <f>B28</f>
        <v>GWh</v>
      </c>
      <c r="C40" s="17">
        <f t="shared" ref="C40:F40" si="34">C12/C38*(1-C38)</f>
        <v>54.92361224489801</v>
      </c>
      <c r="D40" s="17">
        <f t="shared" si="34"/>
        <v>54.92361224489801</v>
      </c>
      <c r="E40" s="17">
        <f t="shared" si="34"/>
        <v>54.816326530612301</v>
      </c>
      <c r="F40" s="17">
        <f t="shared" si="34"/>
        <v>54.816326530612301</v>
      </c>
      <c r="G40" s="17">
        <f>G12/G38*(1-G38)</f>
        <v>61.11777551020414</v>
      </c>
      <c r="H40" s="17">
        <f>H12/H38*(1-H38)</f>
        <v>49.526204081632706</v>
      </c>
      <c r="I40" s="17">
        <f>I12/I38*(1-I38)</f>
        <v>38.999967545638981</v>
      </c>
      <c r="J40" s="17">
        <f>J12/J38*(1-J38)</f>
        <v>42.849030031875401</v>
      </c>
      <c r="K40" s="18">
        <f>K12/K38*(1-K38)</f>
        <v>42.273255578093348</v>
      </c>
      <c r="L40" s="340"/>
      <c r="N40" s="171"/>
    </row>
    <row r="41" spans="1:21">
      <c r="A41" s="11" t="s">
        <v>23</v>
      </c>
      <c r="B41" s="16"/>
      <c r="C41" s="17"/>
      <c r="D41" s="17"/>
      <c r="E41" s="17"/>
      <c r="F41" s="17"/>
      <c r="G41" s="17"/>
      <c r="H41" s="17"/>
      <c r="I41" s="17"/>
      <c r="J41" s="17"/>
      <c r="K41" s="18"/>
      <c r="L41" s="340"/>
    </row>
    <row r="42" spans="1:21" ht="15.75" thickBot="1">
      <c r="A42" s="19" t="s">
        <v>24</v>
      </c>
      <c r="B42" s="20" t="str">
        <f>B40</f>
        <v>GWh</v>
      </c>
      <c r="C42" s="21">
        <f t="shared" ref="C42:G42" si="35">C26/C38*(1-C38)</f>
        <v>59.200137925730175</v>
      </c>
      <c r="D42" s="21">
        <f t="shared" si="35"/>
        <v>59.200137925730175</v>
      </c>
      <c r="E42" s="21">
        <f t="shared" si="35"/>
        <v>56.381165461386807</v>
      </c>
      <c r="F42" s="21">
        <f t="shared" si="35"/>
        <v>56.381165461386807</v>
      </c>
      <c r="G42" s="21">
        <f t="shared" si="35"/>
        <v>63.293906686674731</v>
      </c>
      <c r="H42" s="21">
        <f>H26/H38*(1-H38)</f>
        <v>57.329727806637024</v>
      </c>
      <c r="I42" s="21">
        <f>I26/I38*(1-I38)</f>
        <v>43.429814605549296</v>
      </c>
      <c r="J42" s="21">
        <f>J26/J38*(1-J38)</f>
        <v>46.40636755275375</v>
      </c>
      <c r="K42" s="22">
        <f>K26/K38*(1-K38)</f>
        <v>45.905161158998659</v>
      </c>
      <c r="L42" s="340"/>
    </row>
    <row r="43" spans="1:21">
      <c r="A43" s="31"/>
      <c r="B43" s="31"/>
      <c r="C43" s="31"/>
      <c r="D43" s="31"/>
      <c r="E43" s="31"/>
      <c r="F43" s="51"/>
      <c r="G43" s="52"/>
      <c r="K43" s="188"/>
      <c r="L43" s="188"/>
    </row>
    <row r="44" spans="1:21">
      <c r="A44" s="31"/>
      <c r="B44" s="31"/>
      <c r="C44" s="31"/>
      <c r="D44" s="31"/>
      <c r="E44" s="44"/>
      <c r="F44" s="16"/>
      <c r="G44" s="52"/>
      <c r="K44" s="188"/>
      <c r="L44" s="188"/>
    </row>
    <row r="45" spans="1:21">
      <c r="A45" s="31"/>
      <c r="B45" s="31"/>
      <c r="C45" s="31"/>
      <c r="D45" s="31"/>
      <c r="E45" s="12"/>
      <c r="F45" s="52"/>
      <c r="G45" s="52"/>
      <c r="K45" s="188"/>
    </row>
    <row r="46" spans="1:21">
      <c r="A46" s="31"/>
      <c r="B46" s="31"/>
      <c r="C46" s="31"/>
      <c r="D46" s="31"/>
      <c r="E46" s="12"/>
      <c r="F46" s="52"/>
      <c r="G46" s="52"/>
      <c r="K46" s="188"/>
    </row>
    <row r="47" spans="1:21">
      <c r="K47" s="188"/>
    </row>
    <row r="48" spans="1:21" ht="30">
      <c r="A48" s="40" t="s">
        <v>81</v>
      </c>
      <c r="K48" s="188"/>
    </row>
    <row r="49" spans="1:11" ht="30">
      <c r="A49" s="40" t="s">
        <v>82</v>
      </c>
      <c r="K49" s="188"/>
    </row>
    <row r="50" spans="1:11" ht="30">
      <c r="A50" s="40" t="s">
        <v>83</v>
      </c>
      <c r="K50" s="188"/>
    </row>
    <row r="51" spans="1:11">
      <c r="K51" s="188"/>
    </row>
    <row r="52" spans="1:11">
      <c r="K52" s="188"/>
    </row>
    <row r="53" spans="1:11" ht="15.75" thickBot="1">
      <c r="A53" t="s">
        <v>160</v>
      </c>
      <c r="C53">
        <v>2009</v>
      </c>
      <c r="D53" s="27">
        <v>2010</v>
      </c>
      <c r="E53" s="27">
        <v>2011</v>
      </c>
      <c r="F53" s="27">
        <v>2012</v>
      </c>
      <c r="G53" s="27">
        <v>2013</v>
      </c>
      <c r="H53" s="27"/>
      <c r="K53" s="188"/>
    </row>
    <row r="54" spans="1:11" ht="15.75" thickBot="1">
      <c r="A54" s="9" t="s">
        <v>154</v>
      </c>
      <c r="B54" s="10" t="s">
        <v>25</v>
      </c>
      <c r="C54" s="278">
        <v>16804312</v>
      </c>
      <c r="D54" s="279">
        <v>14630938</v>
      </c>
      <c r="E54" s="279">
        <v>12880482</v>
      </c>
      <c r="F54" s="279">
        <v>9949535</v>
      </c>
      <c r="G54" s="279">
        <v>12952908</v>
      </c>
      <c r="H54" s="136"/>
      <c r="K54" s="188"/>
    </row>
    <row r="55" spans="1:11" ht="15.75" thickBot="1">
      <c r="A55" s="30" t="s">
        <v>157</v>
      </c>
      <c r="B55" s="31" t="s">
        <v>25</v>
      </c>
      <c r="C55" s="278">
        <v>1319944</v>
      </c>
      <c r="D55" s="279">
        <v>699177</v>
      </c>
      <c r="E55" s="279">
        <v>296464</v>
      </c>
      <c r="F55" s="279">
        <v>420964</v>
      </c>
      <c r="G55" s="279">
        <v>319722</v>
      </c>
      <c r="H55" s="41"/>
      <c r="K55" s="188"/>
    </row>
    <row r="56" spans="1:11" ht="15.75" thickBot="1">
      <c r="A56" s="30" t="s">
        <v>158</v>
      </c>
      <c r="B56" s="31" t="s">
        <v>25</v>
      </c>
      <c r="C56" s="278">
        <v>582361</v>
      </c>
      <c r="D56" s="279">
        <v>1905331</v>
      </c>
      <c r="E56" s="279">
        <v>1575433</v>
      </c>
      <c r="F56" s="279">
        <v>621747</v>
      </c>
      <c r="G56" s="279">
        <v>820205</v>
      </c>
      <c r="H56" s="41"/>
      <c r="K56" s="188"/>
    </row>
    <row r="57" spans="1:11" ht="15.75" thickBot="1">
      <c r="A57" s="30" t="s">
        <v>159</v>
      </c>
      <c r="B57" s="31" t="s">
        <v>25</v>
      </c>
      <c r="C57" s="278">
        <v>461173</v>
      </c>
      <c r="D57" s="279">
        <v>2920822</v>
      </c>
      <c r="E57" s="279">
        <v>4464662</v>
      </c>
      <c r="F57" s="279">
        <v>5360187</v>
      </c>
      <c r="G57" s="279">
        <v>5350333</v>
      </c>
      <c r="H57" s="41"/>
      <c r="K57" s="188"/>
    </row>
    <row r="58" spans="1:11" ht="15.75" thickBot="1">
      <c r="A58" s="36" t="s">
        <v>96</v>
      </c>
      <c r="B58" s="37" t="s">
        <v>25</v>
      </c>
      <c r="C58" s="37">
        <f>SUM(C54:C57)</f>
        <v>19167790</v>
      </c>
      <c r="D58" s="37">
        <f>SUM(D54:D57)</f>
        <v>20156268</v>
      </c>
      <c r="E58" s="37">
        <f>SUM(E54:E57)</f>
        <v>19217041</v>
      </c>
      <c r="F58" s="37">
        <f>SUM(F54:F57)</f>
        <v>16352433</v>
      </c>
      <c r="G58" s="37">
        <f t="shared" ref="G58:H58" si="36">SUM(G54:G57)</f>
        <v>19443168</v>
      </c>
      <c r="H58" s="122">
        <f t="shared" si="36"/>
        <v>0</v>
      </c>
      <c r="K58" s="188"/>
    </row>
    <row r="59" spans="1:11">
      <c r="K59" s="188"/>
    </row>
    <row r="60" spans="1:11" ht="15.75" thickBot="1">
      <c r="A60" t="s">
        <v>160</v>
      </c>
      <c r="C60">
        <v>2009</v>
      </c>
      <c r="D60" s="27">
        <v>2010</v>
      </c>
      <c r="E60" s="27">
        <v>2011</v>
      </c>
      <c r="F60" s="27">
        <v>2012</v>
      </c>
      <c r="G60" s="27">
        <v>2013</v>
      </c>
      <c r="H60" s="27"/>
      <c r="K60" s="188"/>
    </row>
    <row r="61" spans="1:11" ht="15.75" thickBot="1">
      <c r="A61" s="9" t="s">
        <v>154</v>
      </c>
      <c r="B61" s="10" t="s">
        <v>247</v>
      </c>
      <c r="C61" s="281">
        <f>C54*100/$C$58</f>
        <v>87.669533107363975</v>
      </c>
      <c r="D61" s="281">
        <f>D54*100/$D$58</f>
        <v>72.587534557488524</v>
      </c>
      <c r="E61" s="281">
        <f>E54*100/$E$58</f>
        <v>67.026354369541082</v>
      </c>
      <c r="F61" s="281">
        <f>F54*100/$F$58</f>
        <v>60.844370987485469</v>
      </c>
      <c r="G61" s="281">
        <f>G54*100/$G$58</f>
        <v>66.619328701989303</v>
      </c>
      <c r="H61" s="136"/>
      <c r="K61" s="188"/>
    </row>
    <row r="62" spans="1:11" ht="15.75" thickBot="1">
      <c r="A62" s="30" t="s">
        <v>157</v>
      </c>
      <c r="B62" s="10" t="s">
        <v>247</v>
      </c>
      <c r="C62" s="281">
        <f t="shared" ref="C62:C65" si="37">C55*100/$C$58</f>
        <v>6.8862607530654287</v>
      </c>
      <c r="D62" s="281">
        <f t="shared" ref="D62:D65" si="38">D55*100/$D$58</f>
        <v>3.4687820185760576</v>
      </c>
      <c r="E62" s="281">
        <f t="shared" ref="E62:E65" si="39">E55*100/$E$58</f>
        <v>1.5427140942250162</v>
      </c>
      <c r="F62" s="281">
        <f t="shared" ref="F62:F65" si="40">F55*100/$F$58</f>
        <v>2.5743202861616985</v>
      </c>
      <c r="G62" s="281">
        <f t="shared" ref="G62:G65" si="41">G55*100/$G$58</f>
        <v>1.6443925187500308</v>
      </c>
      <c r="H62" s="41"/>
      <c r="K62" s="188"/>
    </row>
    <row r="63" spans="1:11" ht="15.75" thickBot="1">
      <c r="A63" s="30" t="s">
        <v>158</v>
      </c>
      <c r="B63" s="10" t="s">
        <v>247</v>
      </c>
      <c r="C63" s="281">
        <f t="shared" si="37"/>
        <v>3.0382271508608976</v>
      </c>
      <c r="D63" s="281">
        <f t="shared" si="38"/>
        <v>9.4527965196731856</v>
      </c>
      <c r="E63" s="281">
        <f t="shared" si="39"/>
        <v>8.1981039640806301</v>
      </c>
      <c r="F63" s="281">
        <f t="shared" si="40"/>
        <v>3.8021681544269286</v>
      </c>
      <c r="G63" s="281">
        <f t="shared" si="41"/>
        <v>4.2184740676005061</v>
      </c>
      <c r="H63" s="41"/>
      <c r="K63" s="188"/>
    </row>
    <row r="64" spans="1:11" ht="15.75" thickBot="1">
      <c r="A64" s="30" t="s">
        <v>159</v>
      </c>
      <c r="B64" s="10" t="s">
        <v>247</v>
      </c>
      <c r="C64" s="281">
        <f t="shared" si="37"/>
        <v>2.4059789887097054</v>
      </c>
      <c r="D64" s="281">
        <f t="shared" si="38"/>
        <v>14.490886904262238</v>
      </c>
      <c r="E64" s="281">
        <f t="shared" si="39"/>
        <v>23.232827572153276</v>
      </c>
      <c r="F64" s="281">
        <f t="shared" si="40"/>
        <v>32.7791405719259</v>
      </c>
      <c r="G64" s="281">
        <f t="shared" si="41"/>
        <v>27.517804711660158</v>
      </c>
      <c r="H64" s="41"/>
      <c r="K64" s="188"/>
    </row>
    <row r="65" spans="1:11" ht="15.75" thickBot="1">
      <c r="A65" s="36" t="s">
        <v>96</v>
      </c>
      <c r="B65" s="26" t="s">
        <v>247</v>
      </c>
      <c r="C65" s="280">
        <f t="shared" si="37"/>
        <v>100</v>
      </c>
      <c r="D65" s="280">
        <f t="shared" si="38"/>
        <v>100</v>
      </c>
      <c r="E65" s="280">
        <f t="shared" si="39"/>
        <v>100</v>
      </c>
      <c r="F65" s="280">
        <f t="shared" si="40"/>
        <v>100</v>
      </c>
      <c r="G65" s="280">
        <f t="shared" si="41"/>
        <v>100</v>
      </c>
      <c r="H65" s="122">
        <f t="shared" ref="H65" si="42">SUM(H61:H64)</f>
        <v>0</v>
      </c>
      <c r="K65" s="188"/>
    </row>
    <row r="66" spans="1:11">
      <c r="K66" s="188"/>
    </row>
    <row r="67" spans="1:11">
      <c r="K67" s="188"/>
    </row>
    <row r="68" spans="1:11">
      <c r="F68">
        <v>2016</v>
      </c>
      <c r="G68" s="340">
        <v>2017</v>
      </c>
      <c r="K68" s="188"/>
    </row>
    <row r="69" spans="1:11">
      <c r="F69" s="491">
        <v>9054320</v>
      </c>
      <c r="G69" s="492">
        <v>11563308</v>
      </c>
      <c r="K69" s="188"/>
    </row>
    <row r="70" spans="1:11">
      <c r="F70" s="491">
        <v>238208</v>
      </c>
      <c r="G70" s="492">
        <v>236756</v>
      </c>
      <c r="K70" s="188"/>
    </row>
    <row r="71" spans="1:11">
      <c r="F71" s="491">
        <v>0</v>
      </c>
      <c r="G71" s="492">
        <v>0</v>
      </c>
      <c r="K71" s="188"/>
    </row>
    <row r="72" spans="1:11">
      <c r="F72" s="491">
        <v>4666403</v>
      </c>
      <c r="G72" s="492">
        <v>6004693</v>
      </c>
      <c r="K72" s="188"/>
    </row>
    <row r="73" spans="1:11">
      <c r="F73" s="491">
        <f>SUM(F69:F72)</f>
        <v>13958931</v>
      </c>
      <c r="G73" s="492">
        <f>SUM(G69:G72)</f>
        <v>17804757</v>
      </c>
      <c r="K73" s="188"/>
    </row>
    <row r="74" spans="1:11">
      <c r="G74" s="340"/>
      <c r="K74" s="188"/>
    </row>
    <row r="75" spans="1:11">
      <c r="F75" s="263">
        <f>F69*100/$F$73</f>
        <v>64.863992808618363</v>
      </c>
      <c r="G75" s="490">
        <f>G69*100/$G$73</f>
        <v>64.945048112703816</v>
      </c>
      <c r="K75" s="188"/>
    </row>
    <row r="76" spans="1:11">
      <c r="F76" s="263">
        <f t="shared" ref="F76:F79" si="43">F70*100/$F$73</f>
        <v>1.7064917077102824</v>
      </c>
      <c r="G76" s="490">
        <f t="shared" ref="G76:G79" si="44">G70*100/$G$73</f>
        <v>1.3297345198252355</v>
      </c>
      <c r="K76" s="188"/>
    </row>
    <row r="77" spans="1:11">
      <c r="F77" s="263">
        <f t="shared" si="43"/>
        <v>0</v>
      </c>
      <c r="G77" s="490">
        <f t="shared" si="44"/>
        <v>0</v>
      </c>
      <c r="K77" s="188"/>
    </row>
    <row r="78" spans="1:11">
      <c r="F78" s="263">
        <f t="shared" si="43"/>
        <v>33.429515483671352</v>
      </c>
      <c r="G78" s="490">
        <f t="shared" si="44"/>
        <v>33.725217367470954</v>
      </c>
      <c r="K78" s="188"/>
    </row>
    <row r="79" spans="1:11">
      <c r="F79">
        <f t="shared" si="43"/>
        <v>100</v>
      </c>
      <c r="G79" s="490">
        <f t="shared" si="44"/>
        <v>100</v>
      </c>
      <c r="K79" s="188"/>
    </row>
    <row r="80" spans="1:11">
      <c r="K80" s="188"/>
    </row>
    <row r="81" spans="11:14">
      <c r="K81" s="188"/>
    </row>
    <row r="82" spans="11:14">
      <c r="K82" s="188"/>
    </row>
    <row r="83" spans="11:14">
      <c r="K83" s="188"/>
    </row>
    <row r="84" spans="11:14">
      <c r="K84" s="188"/>
    </row>
    <row r="85" spans="11:14">
      <c r="K85" s="188"/>
    </row>
    <row r="86" spans="11:14">
      <c r="K86" s="188"/>
    </row>
    <row r="87" spans="11:14">
      <c r="K87" s="188"/>
    </row>
    <row r="88" spans="11:14">
      <c r="K88" s="188"/>
    </row>
    <row r="89" spans="11:14">
      <c r="K89" s="188"/>
    </row>
    <row r="90" spans="11:14">
      <c r="K90" s="188"/>
    </row>
    <row r="91" spans="11:14">
      <c r="K91" s="188"/>
      <c r="N91" s="3"/>
    </row>
    <row r="92" spans="11:14">
      <c r="K92" s="188"/>
      <c r="N92" s="3"/>
    </row>
    <row r="93" spans="11:14">
      <c r="K93" s="188"/>
      <c r="N93" s="3"/>
    </row>
    <row r="94" spans="11:14">
      <c r="K94" s="188"/>
      <c r="N94" s="3"/>
    </row>
    <row r="95" spans="11:14">
      <c r="K95" s="188"/>
    </row>
    <row r="96" spans="11:14">
      <c r="K96" s="188"/>
    </row>
    <row r="97" spans="5:11">
      <c r="K97" s="188"/>
    </row>
    <row r="98" spans="5:11">
      <c r="K98" s="188"/>
    </row>
    <row r="99" spans="5:11">
      <c r="K99" s="188"/>
    </row>
    <row r="100" spans="5:11">
      <c r="K100" s="188"/>
    </row>
    <row r="101" spans="5:11">
      <c r="K101" s="188"/>
    </row>
    <row r="102" spans="5:11">
      <c r="F102" s="4"/>
      <c r="G102" s="5"/>
      <c r="H102" s="5"/>
      <c r="K102" s="188"/>
    </row>
    <row r="103" spans="5:11">
      <c r="F103" s="4"/>
      <c r="G103" s="5"/>
      <c r="H103" s="5"/>
      <c r="K103" s="188"/>
    </row>
    <row r="104" spans="5:11">
      <c r="F104" s="4"/>
      <c r="G104" s="5"/>
      <c r="H104" s="5"/>
      <c r="K104" s="188"/>
    </row>
    <row r="105" spans="5:11">
      <c r="E105" s="4"/>
      <c r="F105" s="4"/>
      <c r="G105" s="5"/>
      <c r="H105" s="5"/>
      <c r="K105" s="188"/>
    </row>
    <row r="106" spans="5:11">
      <c r="F106" s="4"/>
      <c r="G106" s="5"/>
      <c r="H106" s="5"/>
      <c r="K106" s="188"/>
    </row>
    <row r="107" spans="5:11">
      <c r="F107" s="4"/>
      <c r="G107" s="5"/>
      <c r="H107" s="5"/>
      <c r="K107" s="188"/>
    </row>
    <row r="108" spans="5:11">
      <c r="F108" s="4"/>
      <c r="G108" s="5"/>
      <c r="H108" s="5"/>
      <c r="K108" s="188"/>
    </row>
    <row r="109" spans="5:11">
      <c r="F109" s="4"/>
      <c r="G109" s="5"/>
      <c r="H109" s="5"/>
      <c r="K109" s="188"/>
    </row>
    <row r="110" spans="5:11">
      <c r="F110" s="4"/>
      <c r="G110" s="5"/>
      <c r="H110" s="5"/>
      <c r="K110" s="188"/>
    </row>
    <row r="111" spans="5:11">
      <c r="F111" s="4"/>
      <c r="G111" s="5"/>
      <c r="H111" s="5"/>
      <c r="K111" s="188"/>
    </row>
    <row r="112" spans="5:11">
      <c r="F112" s="4"/>
      <c r="G112" s="5"/>
      <c r="H112" s="5"/>
      <c r="K112" s="188"/>
    </row>
    <row r="113" spans="5:11">
      <c r="E113" s="4"/>
      <c r="F113" s="4"/>
      <c r="G113" s="5"/>
      <c r="H113" s="5"/>
      <c r="K113" s="188"/>
    </row>
    <row r="114" spans="5:11">
      <c r="F114" s="4"/>
      <c r="G114" s="5"/>
      <c r="H114" s="5"/>
      <c r="K114" s="188"/>
    </row>
    <row r="115" spans="5:11">
      <c r="F115" s="4"/>
      <c r="G115" s="5"/>
      <c r="H115" s="5"/>
    </row>
    <row r="116" spans="5:11">
      <c r="F116" s="4"/>
      <c r="G116" s="5"/>
      <c r="H116" s="5"/>
    </row>
    <row r="117" spans="5:11">
      <c r="F117" s="4"/>
      <c r="G117" s="5"/>
      <c r="H117" s="5"/>
    </row>
    <row r="118" spans="5:11">
      <c r="F118" s="4"/>
      <c r="G118" s="5"/>
      <c r="H118" s="5"/>
    </row>
    <row r="119" spans="5:11">
      <c r="F119" s="4"/>
      <c r="G119" s="5"/>
      <c r="H119" s="5"/>
    </row>
    <row r="120" spans="5:11">
      <c r="F120" s="4"/>
      <c r="G120" s="5"/>
      <c r="H120" s="5"/>
    </row>
  </sheetData>
  <hyperlinks>
    <hyperlink ref="M3" r:id="rId1" xr:uid="{00000000-0004-0000-0400-000000000000}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T107"/>
  <sheetViews>
    <sheetView topLeftCell="A22" workbookViewId="0">
      <selection activeCell="I33" sqref="I33"/>
    </sheetView>
  </sheetViews>
  <sheetFormatPr defaultRowHeight="15"/>
  <cols>
    <col min="1" max="1" width="34.42578125" bestFit="1" customWidth="1"/>
    <col min="3" max="3" width="10" bestFit="1" customWidth="1"/>
    <col min="4" max="4" width="17.5703125" bestFit="1" customWidth="1"/>
    <col min="5" max="5" width="11.7109375" bestFit="1" customWidth="1"/>
    <col min="6" max="6" width="13.28515625" bestFit="1" customWidth="1"/>
    <col min="7" max="7" width="15.140625" bestFit="1" customWidth="1"/>
    <col min="8" max="8" width="14" bestFit="1" customWidth="1"/>
    <col min="9" max="9" width="16.5703125" bestFit="1" customWidth="1"/>
    <col min="10" max="10" width="16.5703125" customWidth="1"/>
    <col min="11" max="11" width="5.42578125" bestFit="1" customWidth="1"/>
    <col min="12" max="12" width="13.7109375" bestFit="1" customWidth="1"/>
    <col min="14" max="14" width="11" bestFit="1" customWidth="1"/>
    <col min="17" max="19" width="11" bestFit="1" customWidth="1"/>
  </cols>
  <sheetData>
    <row r="1" spans="1:20">
      <c r="A1" s="79" t="s">
        <v>36</v>
      </c>
      <c r="B1" s="10"/>
      <c r="C1" s="75">
        <f>Fjernvarme!D1</f>
        <v>2011</v>
      </c>
      <c r="D1" s="75">
        <f>Fjernvarme!E1</f>
        <v>2012</v>
      </c>
      <c r="E1" s="75">
        <f>Fjernvarme!G1</f>
        <v>2013</v>
      </c>
      <c r="F1" s="43">
        <v>2014</v>
      </c>
      <c r="G1" s="43">
        <v>2015</v>
      </c>
      <c r="H1" s="43">
        <v>2016</v>
      </c>
      <c r="I1" s="43">
        <v>2017</v>
      </c>
    </row>
    <row r="2" spans="1:20">
      <c r="A2" s="11" t="s">
        <v>37</v>
      </c>
      <c r="B2" s="497" t="s">
        <v>69</v>
      </c>
      <c r="C2" s="497"/>
      <c r="D2" s="497"/>
      <c r="E2" s="497"/>
      <c r="F2" s="498"/>
      <c r="G2" s="499"/>
    </row>
    <row r="3" spans="1:20">
      <c r="A3" s="76" t="s">
        <v>0</v>
      </c>
      <c r="B3" s="71"/>
      <c r="C3" s="104">
        <v>270945</v>
      </c>
      <c r="D3" s="104">
        <v>273046</v>
      </c>
      <c r="E3" s="104">
        <v>275427</v>
      </c>
      <c r="F3" s="104">
        <v>277147</v>
      </c>
      <c r="G3" s="104">
        <v>279883</v>
      </c>
      <c r="H3" s="104">
        <v>283272</v>
      </c>
      <c r="I3" s="165">
        <v>287098</v>
      </c>
      <c r="J3" s="382"/>
      <c r="R3" s="3"/>
      <c r="S3" s="3"/>
      <c r="T3" s="3"/>
    </row>
    <row r="4" spans="1:20">
      <c r="A4" s="77" t="s">
        <v>38</v>
      </c>
      <c r="B4" s="31"/>
      <c r="C4" s="105">
        <v>5180</v>
      </c>
      <c r="D4" s="105">
        <v>5094</v>
      </c>
      <c r="E4" s="105">
        <v>5065</v>
      </c>
      <c r="F4" s="105">
        <v>4979</v>
      </c>
      <c r="G4" s="105">
        <v>4899</v>
      </c>
      <c r="H4" s="105">
        <v>4688</v>
      </c>
      <c r="I4" s="166">
        <v>4567</v>
      </c>
      <c r="J4" s="382"/>
      <c r="R4" s="3"/>
      <c r="S4" s="3"/>
      <c r="T4" s="3"/>
    </row>
    <row r="5" spans="1:20">
      <c r="A5" s="77" t="s">
        <v>39</v>
      </c>
      <c r="B5" s="31"/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66">
        <v>0</v>
      </c>
      <c r="J5" s="382"/>
      <c r="M5" s="31"/>
      <c r="N5" s="31"/>
      <c r="O5" s="31"/>
      <c r="P5" s="31"/>
      <c r="Q5" s="31"/>
      <c r="R5" s="3"/>
      <c r="S5" s="3"/>
      <c r="T5" s="3"/>
    </row>
    <row r="6" spans="1:20" ht="19.5" customHeight="1">
      <c r="A6" s="77" t="s">
        <v>40</v>
      </c>
      <c r="B6" s="31"/>
      <c r="C6" s="105">
        <v>383</v>
      </c>
      <c r="D6" s="105">
        <v>383</v>
      </c>
      <c r="E6" s="105">
        <v>377</v>
      </c>
      <c r="F6" s="105">
        <v>367</v>
      </c>
      <c r="G6" s="105">
        <v>363</v>
      </c>
      <c r="H6" s="105">
        <v>312</v>
      </c>
      <c r="I6" s="166">
        <v>299</v>
      </c>
      <c r="J6" s="382"/>
      <c r="M6" s="500"/>
      <c r="N6" s="500"/>
      <c r="O6" s="500"/>
      <c r="P6" s="31"/>
      <c r="Q6" s="31"/>
      <c r="R6" s="3"/>
      <c r="S6" s="3"/>
      <c r="T6" s="3"/>
    </row>
    <row r="7" spans="1:20">
      <c r="A7" s="77" t="s">
        <v>41</v>
      </c>
      <c r="B7" s="31"/>
      <c r="C7" s="105">
        <v>43</v>
      </c>
      <c r="D7" s="105">
        <v>60</v>
      </c>
      <c r="E7" s="105">
        <v>68</v>
      </c>
      <c r="F7" s="105">
        <v>241</v>
      </c>
      <c r="G7" s="105">
        <v>263</v>
      </c>
      <c r="H7" s="105">
        <v>270</v>
      </c>
      <c r="I7" s="166">
        <v>293</v>
      </c>
      <c r="J7" s="382"/>
      <c r="M7" s="336"/>
      <c r="N7" s="336"/>
      <c r="O7" s="336"/>
      <c r="P7" s="31"/>
      <c r="Q7" s="31"/>
      <c r="R7" s="3"/>
      <c r="S7" s="3"/>
      <c r="T7" s="3"/>
    </row>
    <row r="8" spans="1:20">
      <c r="A8" s="77" t="s">
        <v>42</v>
      </c>
      <c r="B8" s="31"/>
      <c r="C8" s="105">
        <v>1687</v>
      </c>
      <c r="D8" s="105">
        <v>1586</v>
      </c>
      <c r="E8" s="105">
        <v>1535</v>
      </c>
      <c r="F8" s="105">
        <v>1520</v>
      </c>
      <c r="G8" s="105">
        <v>1515</v>
      </c>
      <c r="H8" s="105">
        <v>1457</v>
      </c>
      <c r="I8" s="166">
        <v>1417</v>
      </c>
      <c r="J8" s="382"/>
      <c r="M8" s="337"/>
      <c r="N8" s="350"/>
      <c r="O8" s="350"/>
      <c r="P8" s="31"/>
      <c r="Q8" s="31"/>
      <c r="R8" s="3"/>
      <c r="S8" s="3"/>
      <c r="T8" s="3"/>
    </row>
    <row r="9" spans="1:20">
      <c r="A9" s="77" t="s">
        <v>43</v>
      </c>
      <c r="B9" s="31"/>
      <c r="C9" s="105">
        <v>1396</v>
      </c>
      <c r="D9" s="105">
        <v>1333</v>
      </c>
      <c r="E9" s="105">
        <v>1268</v>
      </c>
      <c r="F9" s="105">
        <v>1673</v>
      </c>
      <c r="G9" s="105">
        <v>1551</v>
      </c>
      <c r="H9" s="105">
        <v>1524</v>
      </c>
      <c r="I9" s="166">
        <v>1450</v>
      </c>
      <c r="J9" s="382"/>
      <c r="M9" s="351"/>
      <c r="N9" s="350"/>
      <c r="O9" s="350"/>
      <c r="P9" s="31"/>
      <c r="Q9" s="31"/>
      <c r="R9" s="3"/>
      <c r="S9" s="3"/>
      <c r="T9" s="3"/>
    </row>
    <row r="10" spans="1:20">
      <c r="A10" s="78" t="s">
        <v>44</v>
      </c>
      <c r="B10" s="74"/>
      <c r="C10" s="106">
        <v>872</v>
      </c>
      <c r="D10" s="106">
        <v>845</v>
      </c>
      <c r="E10" s="106">
        <v>811</v>
      </c>
      <c r="F10" s="106">
        <v>232</v>
      </c>
      <c r="G10" s="106">
        <v>293</v>
      </c>
      <c r="H10" s="106">
        <v>125</v>
      </c>
      <c r="I10" s="167">
        <v>277</v>
      </c>
      <c r="J10" s="382"/>
      <c r="M10" s="351"/>
      <c r="N10" s="338"/>
      <c r="O10" s="338"/>
      <c r="P10" s="31"/>
      <c r="Q10" s="31"/>
      <c r="R10" s="3"/>
      <c r="S10" s="3"/>
      <c r="T10" s="3"/>
    </row>
    <row r="11" spans="1:20">
      <c r="A11" s="77"/>
      <c r="B11" s="31"/>
      <c r="C11" s="72"/>
      <c r="D11" s="72"/>
      <c r="E11" s="72"/>
      <c r="F11" s="72"/>
      <c r="G11" s="72"/>
      <c r="H11" s="72"/>
      <c r="I11" s="168"/>
      <c r="J11" s="436"/>
      <c r="M11" s="351"/>
      <c r="N11" s="338"/>
      <c r="O11" s="338"/>
      <c r="P11" s="31"/>
      <c r="Q11" s="31"/>
      <c r="R11" s="3"/>
      <c r="S11" s="3"/>
      <c r="T11" s="3"/>
    </row>
    <row r="12" spans="1:20">
      <c r="A12" s="11" t="s">
        <v>45</v>
      </c>
      <c r="B12" s="12"/>
      <c r="C12" s="72"/>
      <c r="D12" s="72"/>
      <c r="E12" s="72"/>
      <c r="F12" s="72"/>
      <c r="G12" s="72"/>
      <c r="H12" s="72"/>
      <c r="I12" s="168"/>
      <c r="J12" s="436"/>
      <c r="M12" s="351"/>
      <c r="N12" s="338"/>
      <c r="O12" s="338"/>
      <c r="P12" s="31"/>
      <c r="Q12" s="31"/>
      <c r="R12" s="3"/>
      <c r="S12" s="3"/>
      <c r="T12" s="3"/>
    </row>
    <row r="13" spans="1:20">
      <c r="A13" s="76" t="s">
        <v>0</v>
      </c>
      <c r="B13" s="71"/>
      <c r="C13" s="104">
        <v>15752</v>
      </c>
      <c r="D13" s="104">
        <v>14384</v>
      </c>
      <c r="E13" s="104">
        <v>13506</v>
      </c>
      <c r="F13" s="104">
        <v>13025</v>
      </c>
      <c r="G13" s="104">
        <v>12823</v>
      </c>
      <c r="H13" s="104">
        <v>12406</v>
      </c>
      <c r="I13" s="165">
        <v>12406</v>
      </c>
      <c r="J13" s="435"/>
      <c r="M13" s="351"/>
      <c r="N13" s="338"/>
      <c r="O13" s="338"/>
      <c r="P13" s="31"/>
      <c r="Q13" s="31"/>
      <c r="R13" s="3"/>
      <c r="S13" s="3"/>
      <c r="T13" s="3"/>
    </row>
    <row r="14" spans="1:20">
      <c r="A14" s="77" t="s">
        <v>38</v>
      </c>
      <c r="B14" s="31"/>
      <c r="C14" s="105">
        <v>383</v>
      </c>
      <c r="D14" s="105">
        <v>353</v>
      </c>
      <c r="E14" s="105">
        <v>377</v>
      </c>
      <c r="F14" s="105">
        <v>318</v>
      </c>
      <c r="G14" s="105">
        <v>214</v>
      </c>
      <c r="H14" s="105">
        <v>208</v>
      </c>
      <c r="I14" s="166">
        <v>208</v>
      </c>
      <c r="J14" s="435"/>
      <c r="M14" s="351"/>
      <c r="N14" s="338"/>
      <c r="O14" s="338"/>
      <c r="P14" s="31"/>
      <c r="Q14" s="31"/>
      <c r="R14" s="3"/>
      <c r="S14" s="3"/>
      <c r="T14" s="3"/>
    </row>
    <row r="15" spans="1:20">
      <c r="A15" s="77" t="s">
        <v>39</v>
      </c>
      <c r="B15" s="31"/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66">
        <v>0</v>
      </c>
      <c r="J15" s="435"/>
      <c r="M15" s="351"/>
      <c r="N15" s="338"/>
      <c r="O15" s="338"/>
      <c r="P15" s="31"/>
      <c r="Q15" s="31"/>
      <c r="R15" s="3"/>
      <c r="S15" s="3"/>
      <c r="T15" s="3"/>
    </row>
    <row r="16" spans="1:20">
      <c r="A16" s="77" t="s">
        <v>40</v>
      </c>
      <c r="B16" s="31"/>
      <c r="C16" s="105">
        <v>28</v>
      </c>
      <c r="D16" s="105">
        <v>23</v>
      </c>
      <c r="E16" s="105">
        <v>22</v>
      </c>
      <c r="F16" s="105">
        <v>16</v>
      </c>
      <c r="G16" s="105">
        <v>17</v>
      </c>
      <c r="H16" s="105">
        <v>9</v>
      </c>
      <c r="I16" s="166">
        <v>9</v>
      </c>
      <c r="J16" s="435"/>
      <c r="M16" s="351"/>
      <c r="N16" s="338"/>
      <c r="O16" s="338"/>
      <c r="P16" s="31"/>
      <c r="Q16" s="31"/>
      <c r="R16" s="3"/>
      <c r="S16" s="3"/>
      <c r="T16" s="3"/>
    </row>
    <row r="17" spans="1:20">
      <c r="A17" s="77" t="s">
        <v>41</v>
      </c>
      <c r="B17" s="31"/>
      <c r="C17" s="105">
        <v>0</v>
      </c>
      <c r="D17" s="105">
        <v>2</v>
      </c>
      <c r="E17" s="105">
        <v>0</v>
      </c>
      <c r="F17" s="105">
        <v>2</v>
      </c>
      <c r="G17" s="105">
        <v>4</v>
      </c>
      <c r="H17" s="105">
        <v>5</v>
      </c>
      <c r="I17" s="166">
        <v>5</v>
      </c>
      <c r="J17" s="435"/>
      <c r="M17" s="351"/>
      <c r="N17" s="338"/>
      <c r="O17" s="338"/>
      <c r="P17" s="31"/>
      <c r="Q17" s="31"/>
      <c r="R17" s="3"/>
      <c r="S17" s="3"/>
      <c r="T17" s="3"/>
    </row>
    <row r="18" spans="1:20">
      <c r="A18" s="77" t="s">
        <v>42</v>
      </c>
      <c r="B18" s="31"/>
      <c r="C18" s="105">
        <v>125</v>
      </c>
      <c r="D18" s="105">
        <v>120</v>
      </c>
      <c r="E18" s="105">
        <v>103</v>
      </c>
      <c r="F18" s="105">
        <v>98</v>
      </c>
      <c r="G18" s="105">
        <v>95</v>
      </c>
      <c r="H18" s="105">
        <v>109</v>
      </c>
      <c r="I18" s="166">
        <v>109</v>
      </c>
      <c r="J18" s="435"/>
      <c r="M18" s="351"/>
      <c r="N18" s="350"/>
      <c r="O18" s="350"/>
      <c r="P18" s="31"/>
      <c r="Q18" s="31"/>
      <c r="R18" s="3"/>
      <c r="S18" s="3"/>
      <c r="T18" s="3"/>
    </row>
    <row r="19" spans="1:20">
      <c r="A19" s="77" t="s">
        <v>43</v>
      </c>
      <c r="B19" s="31"/>
      <c r="C19" s="105">
        <v>246</v>
      </c>
      <c r="D19" s="105">
        <v>223</v>
      </c>
      <c r="E19" s="105">
        <v>213</v>
      </c>
      <c r="F19" s="105">
        <v>316</v>
      </c>
      <c r="G19" s="105">
        <v>363</v>
      </c>
      <c r="H19" s="105">
        <v>326</v>
      </c>
      <c r="I19" s="166">
        <v>326</v>
      </c>
      <c r="J19" s="435"/>
      <c r="M19" s="351"/>
      <c r="N19" s="338"/>
      <c r="O19" s="338"/>
      <c r="P19" s="31"/>
      <c r="Q19" s="31"/>
      <c r="R19" s="3"/>
      <c r="S19" s="3"/>
      <c r="T19" s="3"/>
    </row>
    <row r="20" spans="1:20">
      <c r="A20" s="78" t="s">
        <v>44</v>
      </c>
      <c r="B20" s="74"/>
      <c r="C20" s="106">
        <v>32</v>
      </c>
      <c r="D20" s="106">
        <v>17</v>
      </c>
      <c r="E20" s="106">
        <v>53</v>
      </c>
      <c r="F20" s="106">
        <v>14</v>
      </c>
      <c r="G20" s="106">
        <v>10</v>
      </c>
      <c r="H20" s="106">
        <v>9</v>
      </c>
      <c r="I20" s="167">
        <v>9</v>
      </c>
      <c r="J20" s="435"/>
      <c r="M20" s="351"/>
      <c r="N20" s="338"/>
      <c r="O20" s="338"/>
      <c r="P20" s="31"/>
      <c r="Q20" s="31"/>
      <c r="R20" s="3"/>
      <c r="S20" s="3"/>
      <c r="T20" s="3"/>
    </row>
    <row r="21" spans="1:20">
      <c r="A21" s="30"/>
      <c r="B21" s="12"/>
      <c r="C21" s="72"/>
      <c r="D21" s="72"/>
      <c r="E21" s="72"/>
      <c r="F21" s="72"/>
      <c r="G21" s="72"/>
      <c r="H21" s="72"/>
      <c r="I21" s="168"/>
      <c r="J21" s="436"/>
      <c r="M21" s="351"/>
      <c r="N21" s="338"/>
      <c r="O21" s="338"/>
      <c r="P21" s="31"/>
      <c r="Q21" s="31"/>
      <c r="R21" s="3"/>
      <c r="S21" s="3"/>
      <c r="T21" s="3"/>
    </row>
    <row r="22" spans="1:20">
      <c r="A22" s="11" t="s">
        <v>46</v>
      </c>
      <c r="B22" s="12"/>
      <c r="C22" s="72"/>
      <c r="D22" s="72"/>
      <c r="E22" s="72"/>
      <c r="F22" s="72"/>
      <c r="G22" s="72"/>
      <c r="H22" s="72"/>
      <c r="I22" s="168"/>
      <c r="J22" s="436"/>
      <c r="M22" s="351"/>
      <c r="N22" s="338"/>
      <c r="O22" s="338"/>
      <c r="P22" s="31"/>
      <c r="Q22" s="31"/>
      <c r="R22" s="3"/>
      <c r="S22" s="3"/>
      <c r="T22" s="3"/>
    </row>
    <row r="23" spans="1:20">
      <c r="A23" s="76" t="s">
        <v>0</v>
      </c>
      <c r="B23" s="71"/>
      <c r="C23" s="104">
        <v>138</v>
      </c>
      <c r="D23" s="104">
        <v>518</v>
      </c>
      <c r="E23" s="104">
        <v>662</v>
      </c>
      <c r="F23" s="104">
        <v>829</v>
      </c>
      <c r="G23" s="104">
        <v>907</v>
      </c>
      <c r="H23" s="104">
        <v>921</v>
      </c>
      <c r="I23" s="165">
        <v>921</v>
      </c>
      <c r="J23" s="435"/>
      <c r="M23" s="351"/>
      <c r="N23" s="338"/>
      <c r="O23" s="338"/>
      <c r="P23" s="31"/>
      <c r="Q23" s="31"/>
      <c r="R23" s="3"/>
      <c r="S23" s="3"/>
      <c r="T23" s="3"/>
    </row>
    <row r="24" spans="1:20" ht="15.75" thickBot="1">
      <c r="A24" s="77" t="s">
        <v>38</v>
      </c>
      <c r="B24" s="31"/>
      <c r="C24" s="105">
        <v>8</v>
      </c>
      <c r="D24" s="105">
        <v>9</v>
      </c>
      <c r="E24" s="105">
        <v>8</v>
      </c>
      <c r="F24" s="105">
        <v>11</v>
      </c>
      <c r="G24" s="105">
        <v>14</v>
      </c>
      <c r="H24" s="105">
        <v>12</v>
      </c>
      <c r="I24" s="166">
        <v>12</v>
      </c>
      <c r="J24" s="435"/>
      <c r="M24" s="351"/>
      <c r="N24" s="338"/>
      <c r="O24" s="338"/>
      <c r="P24" s="31"/>
      <c r="Q24" s="31"/>
      <c r="R24" s="3"/>
      <c r="S24" s="3"/>
      <c r="T24" s="3"/>
    </row>
    <row r="25" spans="1:20">
      <c r="A25" s="77" t="s">
        <v>39</v>
      </c>
      <c r="B25" s="31"/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66">
        <v>0</v>
      </c>
      <c r="J25" s="435"/>
      <c r="K25" s="66">
        <f>57*3.6</f>
        <v>205.20000000000002</v>
      </c>
      <c r="L25" s="349"/>
      <c r="M25" s="351"/>
      <c r="N25" s="338"/>
      <c r="O25" s="338"/>
      <c r="P25" s="31"/>
      <c r="Q25" s="31"/>
      <c r="R25" s="3"/>
      <c r="S25" s="3"/>
      <c r="T25" s="3"/>
    </row>
    <row r="26" spans="1:20">
      <c r="A26" s="77" t="s">
        <v>40</v>
      </c>
      <c r="B26" s="31"/>
      <c r="C26" s="105">
        <v>1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66">
        <v>0</v>
      </c>
      <c r="J26" s="435"/>
      <c r="K26" s="67">
        <f>39.46/3.6/1000*0.49</f>
        <v>5.3709444444444438E-3</v>
      </c>
      <c r="L26" s="157"/>
      <c r="M26" s="351"/>
      <c r="N26" s="338"/>
      <c r="O26" s="338"/>
      <c r="P26" s="31"/>
      <c r="Q26" s="31"/>
      <c r="R26" s="3"/>
      <c r="S26" s="3"/>
      <c r="T26" s="3"/>
    </row>
    <row r="27" spans="1:20">
      <c r="A27" s="77" t="s">
        <v>41</v>
      </c>
      <c r="B27" s="31"/>
      <c r="C27" s="105">
        <v>3</v>
      </c>
      <c r="D27" s="105">
        <v>3</v>
      </c>
      <c r="E27" s="105">
        <v>6</v>
      </c>
      <c r="F27" s="105">
        <v>13</v>
      </c>
      <c r="G27" s="105">
        <v>14</v>
      </c>
      <c r="H27" s="105">
        <v>33</v>
      </c>
      <c r="I27" s="166">
        <v>33</v>
      </c>
      <c r="J27" s="435"/>
      <c r="K27" s="67"/>
      <c r="L27" s="68"/>
    </row>
    <row r="28" spans="1:20">
      <c r="A28" s="77" t="s">
        <v>42</v>
      </c>
      <c r="B28" s="31"/>
      <c r="C28" s="105">
        <v>1547</v>
      </c>
      <c r="D28" s="105">
        <v>1549</v>
      </c>
      <c r="E28" s="105">
        <v>1542</v>
      </c>
      <c r="F28" s="105">
        <v>1546</v>
      </c>
      <c r="G28" s="105">
        <v>1539</v>
      </c>
      <c r="H28" s="105">
        <v>1522</v>
      </c>
      <c r="I28" s="166">
        <v>1522</v>
      </c>
      <c r="J28" s="435"/>
      <c r="K28" s="69">
        <v>5745</v>
      </c>
      <c r="L28" s="91">
        <f>34054/K28</f>
        <v>5.927589208006963</v>
      </c>
    </row>
    <row r="29" spans="1:20" ht="15.75" thickBot="1">
      <c r="A29" s="77" t="s">
        <v>43</v>
      </c>
      <c r="B29" s="31"/>
      <c r="C29" s="105">
        <v>1759</v>
      </c>
      <c r="D29" s="105">
        <v>1759</v>
      </c>
      <c r="E29" s="105">
        <v>1754</v>
      </c>
      <c r="F29" s="105">
        <v>1748</v>
      </c>
      <c r="G29" s="105">
        <v>1732</v>
      </c>
      <c r="H29" s="105">
        <v>1722</v>
      </c>
      <c r="I29" s="166">
        <v>1722</v>
      </c>
      <c r="J29" s="435"/>
      <c r="K29" s="70"/>
      <c r="L29" s="92">
        <f>Fjernvarme!D12/C3</f>
        <v>9.9328535311594603E-3</v>
      </c>
    </row>
    <row r="30" spans="1:20" ht="15.75" thickBot="1">
      <c r="A30" s="129" t="s">
        <v>44</v>
      </c>
      <c r="B30" s="42"/>
      <c r="C30" s="130">
        <v>805</v>
      </c>
      <c r="D30" s="130">
        <v>803</v>
      </c>
      <c r="E30" s="130">
        <v>806</v>
      </c>
      <c r="F30" s="130">
        <v>804</v>
      </c>
      <c r="G30" s="130">
        <v>798</v>
      </c>
      <c r="H30" s="130">
        <v>789</v>
      </c>
      <c r="I30" s="169">
        <v>789</v>
      </c>
      <c r="J30" s="435"/>
    </row>
    <row r="31" spans="1:20" ht="15.75" thickBot="1">
      <c r="A31" s="40"/>
      <c r="J31" s="188"/>
    </row>
    <row r="32" spans="1:20">
      <c r="A32" s="9" t="s">
        <v>134</v>
      </c>
      <c r="B32" s="10"/>
      <c r="C32" s="28">
        <f>I55/C47</f>
        <v>17795.862916896898</v>
      </c>
      <c r="D32" s="28">
        <f>I63</f>
        <v>16993.24135119699</v>
      </c>
      <c r="E32" s="28">
        <f>I71</f>
        <v>19791.470556632416</v>
      </c>
      <c r="F32" s="28">
        <f>I79</f>
        <v>14775.72839600411</v>
      </c>
      <c r="G32" s="28">
        <f>I87</f>
        <v>10717.52246973416</v>
      </c>
      <c r="H32" s="28">
        <f>I95</f>
        <v>12480.33502239066</v>
      </c>
      <c r="I32" s="29">
        <f>I104</f>
        <v>11499.824969377725</v>
      </c>
      <c r="J32" s="340"/>
    </row>
    <row r="33" spans="1:14" ht="15.75" thickBot="1">
      <c r="A33" s="146" t="s">
        <v>7</v>
      </c>
      <c r="B33" s="42"/>
      <c r="C33" s="46"/>
      <c r="D33" s="46">
        <f>Forudsætninger!F2*Forudsætninger!F3*(1-Forudsætninger!F5)/(Forudsætninger!F4*(1-Forudsætninger!F6))</f>
        <v>2755.2070207052857</v>
      </c>
      <c r="E33" s="46">
        <f>Forudsætninger!G2*Forudsætninger!G3*(1-Forudsætninger!G5)/(Forudsætninger!G4*(1-Forudsætninger!G6))</f>
        <v>2447.8880868701112</v>
      </c>
      <c r="F33" s="46">
        <f>Forudsætninger!H2*Forudsætninger!H3*(1-Forudsætninger!H5)/(Forudsætninger!H4*(1-Forudsætninger!H6))</f>
        <v>2840.4823813108528</v>
      </c>
      <c r="G33" s="46">
        <f>Forudsætninger!I2*Forudsætninger!I3*(1-Forudsætninger!I5)/(Forudsætninger!I4*(1-Forudsætninger!I6))</f>
        <v>1528.834124377076</v>
      </c>
      <c r="H33" s="46">
        <f>Forudsætninger!J2*Forudsætninger!J3*(1-Forudsætninger!J5)/(Forudsætninger!J4*(1-Forudsætninger!J6))</f>
        <v>1854.5716093306253</v>
      </c>
      <c r="I33" s="47">
        <f>Forudsætninger!K2*Forudsætninger!K3*(1-Forudsætninger!K5)/(Forudsætninger!K4*(1-Forudsætninger!K6))</f>
        <v>1933.6872969060021</v>
      </c>
      <c r="J33" s="340"/>
    </row>
    <row r="34" spans="1:14" ht="15.75" thickBot="1">
      <c r="A34" s="40"/>
      <c r="J34" s="340"/>
    </row>
    <row r="35" spans="1:14" ht="30">
      <c r="A35" s="145" t="s">
        <v>81</v>
      </c>
      <c r="B35" s="10"/>
      <c r="C35" s="144">
        <f t="shared" ref="C35:G35" si="0">C32+C33</f>
        <v>17795.862916896898</v>
      </c>
      <c r="D35" s="144">
        <f t="shared" si="0"/>
        <v>19748.448371902276</v>
      </c>
      <c r="E35" s="144">
        <f t="shared" si="0"/>
        <v>22239.358643502528</v>
      </c>
      <c r="F35" s="144">
        <f t="shared" si="0"/>
        <v>17616.210777314962</v>
      </c>
      <c r="G35" s="144">
        <f t="shared" si="0"/>
        <v>12246.356594111236</v>
      </c>
      <c r="H35" s="144">
        <f>H32+H33</f>
        <v>14334.906631721286</v>
      </c>
      <c r="I35" s="231">
        <f>I32+I33</f>
        <v>13433.512266283728</v>
      </c>
      <c r="J35" s="340"/>
    </row>
    <row r="36" spans="1:14" ht="30.75" thickBot="1">
      <c r="A36" s="146" t="s">
        <v>82</v>
      </c>
      <c r="B36" s="42"/>
      <c r="C36" s="46">
        <f>Bygas!D25</f>
        <v>3132.0000000000005</v>
      </c>
      <c r="D36" s="46">
        <f>Bygas!E25</f>
        <v>2440.6654712008421</v>
      </c>
      <c r="E36" s="46">
        <f>Bygas!F25</f>
        <v>11939.011812000001</v>
      </c>
      <c r="F36" s="46">
        <f>Bygas!G25</f>
        <v>10672</v>
      </c>
      <c r="G36" s="46">
        <f>Bygas!H25</f>
        <v>9622</v>
      </c>
      <c r="H36" s="46">
        <f>Bygas!I25</f>
        <v>8424</v>
      </c>
      <c r="I36" s="47">
        <f>Bygas!J25</f>
        <v>7434</v>
      </c>
      <c r="J36" s="340"/>
    </row>
    <row r="37" spans="1:14">
      <c r="N37" s="56">
        <v>2746.712</v>
      </c>
    </row>
    <row r="38" spans="1:14">
      <c r="D38" s="171"/>
    </row>
    <row r="39" spans="1:14">
      <c r="A39" s="12"/>
      <c r="B39" s="31"/>
      <c r="C39" s="31"/>
      <c r="D39" s="31"/>
      <c r="E39" s="31"/>
      <c r="F39" s="31"/>
      <c r="G39" s="31"/>
      <c r="H39" s="31"/>
    </row>
    <row r="40" spans="1:14" ht="15.75" thickBot="1">
      <c r="A40" s="31"/>
      <c r="B40" s="31"/>
      <c r="C40" s="31"/>
      <c r="D40" s="31"/>
      <c r="E40" s="31"/>
      <c r="F40" s="31"/>
      <c r="G40" s="31"/>
      <c r="H40" s="31"/>
      <c r="I40" s="188"/>
    </row>
    <row r="41" spans="1:14">
      <c r="A41" s="107" t="s">
        <v>73</v>
      </c>
      <c r="B41" s="108"/>
      <c r="C41" s="109">
        <f t="shared" ref="C41:H41" si="1">C1</f>
        <v>2011</v>
      </c>
      <c r="D41" s="110">
        <f t="shared" si="1"/>
        <v>2012</v>
      </c>
      <c r="E41" s="110">
        <f t="shared" si="1"/>
        <v>2013</v>
      </c>
      <c r="F41" s="110">
        <f t="shared" si="1"/>
        <v>2014</v>
      </c>
      <c r="G41" s="110">
        <f t="shared" si="1"/>
        <v>2015</v>
      </c>
      <c r="H41" s="110">
        <f t="shared" si="1"/>
        <v>2016</v>
      </c>
      <c r="I41" s="111">
        <f t="shared" ref="I41" si="2">I1</f>
        <v>2017</v>
      </c>
      <c r="J41" s="188"/>
      <c r="N41">
        <f>(N37/0.986)*(1-0.986)</f>
        <v>38.999967545638981</v>
      </c>
    </row>
    <row r="42" spans="1:14">
      <c r="A42" s="112" t="str">
        <f>Fjernvarme!A39</f>
        <v>Ikke graddagekorrigeret</v>
      </c>
      <c r="B42" s="113"/>
      <c r="C42" s="113"/>
      <c r="D42" s="113"/>
      <c r="E42" s="113"/>
      <c r="F42" s="113"/>
      <c r="G42" s="113"/>
      <c r="H42" s="113"/>
      <c r="I42" s="114"/>
      <c r="J42" s="188"/>
    </row>
    <row r="43" spans="1:14">
      <c r="A43" s="115" t="str">
        <f>Fjernvarme!A40</f>
        <v>Individuel opvarmning</v>
      </c>
      <c r="B43" s="113" t="str">
        <f>Fjernvarme!B40</f>
        <v>GWh</v>
      </c>
      <c r="C43" s="116">
        <f>Fjernvarme!D40</f>
        <v>54.92361224489801</v>
      </c>
      <c r="D43" s="116">
        <f>Fjernvarme!E40</f>
        <v>54.816326530612301</v>
      </c>
      <c r="E43" s="116">
        <f>Fjernvarme!G40</f>
        <v>61.11777551020414</v>
      </c>
      <c r="F43" s="116">
        <f>Fjernvarme!H40</f>
        <v>49.526204081632706</v>
      </c>
      <c r="G43" s="116">
        <f>Fjernvarme!I40</f>
        <v>38.999967545638981</v>
      </c>
      <c r="H43" s="116">
        <f>Fjernvarme!J40</f>
        <v>42.849030031875401</v>
      </c>
      <c r="I43" s="224">
        <f>Fjernvarme!K40</f>
        <v>42.273255578093348</v>
      </c>
      <c r="J43" s="188"/>
    </row>
    <row r="44" spans="1:14">
      <c r="A44" s="112" t="str">
        <f>Fjernvarme!A41</f>
        <v>Graddagekorrigeret</v>
      </c>
      <c r="B44" s="113"/>
      <c r="C44" s="116"/>
      <c r="D44" s="116"/>
      <c r="E44" s="116"/>
      <c r="F44" s="116"/>
      <c r="G44" s="116"/>
      <c r="H44" s="116"/>
      <c r="I44" s="224"/>
      <c r="J44" s="188"/>
    </row>
    <row r="45" spans="1:14">
      <c r="A45" s="115" t="str">
        <f>Fjernvarme!A42</f>
        <v>Individuel opvarmning</v>
      </c>
      <c r="B45" s="113" t="str">
        <f>Fjernvarme!B42</f>
        <v>GWh</v>
      </c>
      <c r="C45" s="116">
        <f>Fjernvarme!D42</f>
        <v>59.200137925730175</v>
      </c>
      <c r="D45" s="116">
        <f>Fjernvarme!E42</f>
        <v>56.381165461386807</v>
      </c>
      <c r="E45" s="116">
        <f>Fjernvarme!G42</f>
        <v>63.293906686674731</v>
      </c>
      <c r="F45" s="116">
        <f>Fjernvarme!H42</f>
        <v>57.329727806637024</v>
      </c>
      <c r="G45" s="116">
        <f>Fjernvarme!I42</f>
        <v>43.429814605549296</v>
      </c>
      <c r="H45" s="116">
        <f>Fjernvarme!J42</f>
        <v>46.40636755275375</v>
      </c>
      <c r="I45" s="224">
        <f>Fjernvarme!K42</f>
        <v>45.905161158998659</v>
      </c>
      <c r="J45" s="188"/>
    </row>
    <row r="46" spans="1:14" ht="15.75" thickBot="1">
      <c r="A46" s="115"/>
      <c r="B46" s="113"/>
      <c r="C46" s="113"/>
      <c r="D46" s="113"/>
      <c r="E46" s="113"/>
      <c r="F46" s="113"/>
      <c r="G46" s="113"/>
      <c r="H46" s="113"/>
      <c r="I46" s="114"/>
      <c r="J46" s="188"/>
    </row>
    <row r="47" spans="1:14" ht="15.75" thickBot="1">
      <c r="A47" s="117" t="s">
        <v>72</v>
      </c>
      <c r="B47" s="118"/>
      <c r="C47" s="119">
        <f>C45/C43</f>
        <v>1.077863154043176</v>
      </c>
      <c r="D47" s="119">
        <f t="shared" ref="D47" si="3">D45/D43</f>
        <v>1.02854694996573</v>
      </c>
      <c r="E47" s="119">
        <f>E45/E43</f>
        <v>1.0356055363321799</v>
      </c>
      <c r="F47" s="119">
        <f>F45/F43</f>
        <v>1.1575635336829364</v>
      </c>
      <c r="G47" s="119">
        <f>G45/G43</f>
        <v>1.1135859165709912</v>
      </c>
      <c r="H47" s="119">
        <f>H45/H43</f>
        <v>1.0830202578268877</v>
      </c>
      <c r="I47" s="120">
        <f>I45/I43</f>
        <v>1.0859149722735673</v>
      </c>
      <c r="J47" s="188"/>
    </row>
    <row r="48" spans="1:14">
      <c r="A48" s="31"/>
      <c r="B48" s="31"/>
      <c r="C48" s="31"/>
      <c r="D48" s="12"/>
      <c r="E48" s="52"/>
      <c r="F48" s="52"/>
      <c r="H48" s="188"/>
    </row>
    <row r="49" spans="1:14">
      <c r="A49" s="31"/>
      <c r="B49" s="31"/>
      <c r="C49" s="31"/>
      <c r="D49" s="12"/>
      <c r="E49" s="52"/>
      <c r="F49" s="52"/>
      <c r="H49" s="188"/>
    </row>
    <row r="50" spans="1:14" ht="49.5" hidden="1">
      <c r="A50" s="80" t="str">
        <f>CONCATENATE("Opvarmningsform ",C$1)</f>
        <v>Opvarmningsform 2011</v>
      </c>
      <c r="B50" s="81"/>
      <c r="C50" s="81" t="s">
        <v>26</v>
      </c>
      <c r="D50" s="81" t="s">
        <v>27</v>
      </c>
      <c r="E50" s="86" t="s">
        <v>28</v>
      </c>
      <c r="F50" s="81" t="s">
        <v>29</v>
      </c>
      <c r="G50" s="81" t="s">
        <v>67</v>
      </c>
      <c r="H50" s="81" t="s">
        <v>30</v>
      </c>
      <c r="I50" s="82" t="str">
        <f>CONCATENATE("Beregnet CO2-emission tons/år, ",C$1)</f>
        <v>Beregnet CO2-emission tons/år, 2011</v>
      </c>
      <c r="J50" s="434"/>
      <c r="L50" s="88" t="s">
        <v>68</v>
      </c>
    </row>
    <row r="51" spans="1:14" hidden="1">
      <c r="A51" s="30" t="s">
        <v>31</v>
      </c>
      <c r="B51" s="31"/>
      <c r="C51" s="32">
        <f>C$5</f>
        <v>0</v>
      </c>
      <c r="D51" s="32">
        <f>C51+C51/C55*C$10</f>
        <v>0</v>
      </c>
      <c r="E51" s="62">
        <f>D51/D55</f>
        <v>0</v>
      </c>
      <c r="F51" s="32">
        <f>(C$45-F53/1000)*D51/(D55-D53)*1000</f>
        <v>0</v>
      </c>
      <c r="G51" s="63">
        <v>0.20499999999999999</v>
      </c>
      <c r="H51" s="64">
        <v>0</v>
      </c>
      <c r="I51" s="33">
        <v>0</v>
      </c>
      <c r="J51" s="32"/>
      <c r="L51" s="89">
        <f>0*C47</f>
        <v>0</v>
      </c>
    </row>
    <row r="52" spans="1:14" hidden="1">
      <c r="A52" s="30" t="s">
        <v>70</v>
      </c>
      <c r="B52" s="31"/>
      <c r="C52" s="32">
        <f>C$4</f>
        <v>5180</v>
      </c>
      <c r="D52" s="32">
        <f>C52+C52/C55*C$10</f>
        <v>5699.8480837840943</v>
      </c>
      <c r="E52" s="62">
        <f>D52/D55</f>
        <v>0.59615605938542982</v>
      </c>
      <c r="F52" s="32">
        <f>(C$45-F53/1000)*D52/(D55-D53)*1000</f>
        <v>35480.757932933222</v>
      </c>
      <c r="G52" s="63">
        <v>0.26700000000000002</v>
      </c>
      <c r="H52" s="64">
        <v>0.7</v>
      </c>
      <c r="I52" s="33">
        <f>F52/H52*G52</f>
        <v>13533.374811561673</v>
      </c>
      <c r="J52" s="32"/>
      <c r="L52" s="89">
        <f>12947*C47*G52/0.281</f>
        <v>13259.822655483982</v>
      </c>
      <c r="N52" s="103"/>
    </row>
    <row r="53" spans="1:14" hidden="1">
      <c r="A53" s="30" t="s">
        <v>33</v>
      </c>
      <c r="B53" s="31"/>
      <c r="C53" s="32">
        <f>C$8+C$7</f>
        <v>1730</v>
      </c>
      <c r="D53" s="32">
        <f>C53+C53/C55*C$10</f>
        <v>1903.617217171136</v>
      </c>
      <c r="E53" s="62">
        <f>D53/D55</f>
        <v>0.19910231326965128</v>
      </c>
      <c r="F53" s="170">
        <f>Elfosyning!O15/1000</f>
        <v>11534</v>
      </c>
      <c r="G53" s="226">
        <f>Elfosyning!E4/1000</f>
        <v>0.4261966174644814</v>
      </c>
      <c r="H53" s="64">
        <v>1</v>
      </c>
      <c r="I53" s="33">
        <f>F53/H53*G53</f>
        <v>4915.7517858353285</v>
      </c>
      <c r="J53" s="32"/>
      <c r="L53" s="89">
        <f>4474*C47</f>
        <v>4822.3597511891694</v>
      </c>
    </row>
    <row r="54" spans="1:14" hidden="1">
      <c r="A54" s="30" t="s">
        <v>34</v>
      </c>
      <c r="B54" s="31"/>
      <c r="C54" s="32">
        <f>C$9+C$6</f>
        <v>1779</v>
      </c>
      <c r="D54" s="32">
        <f>C54+C54/C55*C$10</f>
        <v>1957.5346990447692</v>
      </c>
      <c r="E54" s="62">
        <f>D54/D55</f>
        <v>0.20474162734491885</v>
      </c>
      <c r="F54" s="225">
        <f>(C$45-$F$61/1000)*D54/($D$55-$D$53)*1000</f>
        <v>12206.305585491382</v>
      </c>
      <c r="G54" s="60">
        <v>0.06</v>
      </c>
      <c r="H54" s="61">
        <v>1</v>
      </c>
      <c r="I54" s="33">
        <f>F54/H54*G54</f>
        <v>732.37833512948293</v>
      </c>
      <c r="J54" s="32"/>
      <c r="L54" s="89">
        <f>543*C47/0.049*G54</f>
        <v>716.66901140258506</v>
      </c>
      <c r="N54" s="103"/>
    </row>
    <row r="55" spans="1:14" ht="15.75" hidden="1" thickBot="1">
      <c r="A55" s="36" t="s">
        <v>35</v>
      </c>
      <c r="B55" s="37"/>
      <c r="C55" s="38">
        <f>SUM(C51:C54)</f>
        <v>8689</v>
      </c>
      <c r="D55" s="38">
        <f>SUM(D51:D54)</f>
        <v>9561</v>
      </c>
      <c r="E55" s="65">
        <f>SUM(E51:E54)</f>
        <v>0.99999999999999989</v>
      </c>
      <c r="F55" s="38">
        <f>SUM(F51:F54)</f>
        <v>59221.063518424606</v>
      </c>
      <c r="G55" s="83"/>
      <c r="H55" s="84"/>
      <c r="I55" s="39">
        <f>SUM(I51:I54)</f>
        <v>19181.504932526484</v>
      </c>
      <c r="J55" s="32"/>
      <c r="L55" s="90">
        <f>SUM(L51:L54)</f>
        <v>18798.851418075734</v>
      </c>
    </row>
    <row r="56" spans="1:14" hidden="1">
      <c r="A56" s="31"/>
      <c r="B56" s="31"/>
      <c r="C56" s="32"/>
      <c r="D56" s="17"/>
      <c r="E56" s="85"/>
      <c r="F56" s="72"/>
    </row>
    <row r="57" spans="1:14" ht="15.75" hidden="1" thickBot="1">
      <c r="A57" s="31"/>
      <c r="B57" s="31"/>
      <c r="C57" s="32"/>
      <c r="D57" s="17"/>
      <c r="E57" s="85"/>
      <c r="F57" s="72"/>
    </row>
    <row r="58" spans="1:14" ht="49.5" hidden="1">
      <c r="A58" s="80" t="str">
        <f>CONCATENATE("Opvarmningsform ",D$1)</f>
        <v>Opvarmningsform 2012</v>
      </c>
      <c r="B58" s="81"/>
      <c r="C58" s="87" t="s">
        <v>26</v>
      </c>
      <c r="D58" s="87" t="s">
        <v>27</v>
      </c>
      <c r="E58" s="86" t="s">
        <v>28</v>
      </c>
      <c r="F58" s="87" t="s">
        <v>29</v>
      </c>
      <c r="G58" s="81" t="s">
        <v>67</v>
      </c>
      <c r="H58" s="81" t="s">
        <v>30</v>
      </c>
      <c r="I58" s="82" t="str">
        <f>CONCATENATE("Beregnet CO2-emission tons/år, ",D$1)</f>
        <v>Beregnet CO2-emission tons/år, 2012</v>
      </c>
      <c r="J58" s="434"/>
      <c r="L58" s="88" t="s">
        <v>223</v>
      </c>
    </row>
    <row r="59" spans="1:14" hidden="1">
      <c r="A59" s="30" t="str">
        <f>A51</f>
        <v>Naturgas</v>
      </c>
      <c r="B59" s="31"/>
      <c r="C59" s="32">
        <f>D$5</f>
        <v>0</v>
      </c>
      <c r="D59" s="32">
        <f>C59+C59/C63*$D$10</f>
        <v>0</v>
      </c>
      <c r="E59" s="62">
        <f>D59/D63</f>
        <v>0</v>
      </c>
      <c r="F59" s="32">
        <f>(D$45-F61/1000)*D59/(D63-D61)*1000</f>
        <v>0</v>
      </c>
      <c r="G59" s="63">
        <v>0.20499999999999999</v>
      </c>
      <c r="H59" s="64">
        <v>0</v>
      </c>
      <c r="I59" s="33">
        <v>0</v>
      </c>
      <c r="J59" s="32"/>
      <c r="L59" s="89">
        <v>0</v>
      </c>
    </row>
    <row r="60" spans="1:14" hidden="1">
      <c r="A60" s="30" t="str">
        <f>A52</f>
        <v>Gasolie</v>
      </c>
      <c r="B60" s="31"/>
      <c r="C60" s="32">
        <f>D$4</f>
        <v>5094</v>
      </c>
      <c r="D60" s="32">
        <f>C60+C60/C63*D$10</f>
        <v>5603.0385525070951</v>
      </c>
      <c r="E60" s="62">
        <f>D60/D63</f>
        <v>0.60241248817407755</v>
      </c>
      <c r="F60" s="225">
        <f>(D$43-F61/1000)*D60/(D63-D61)*1000</f>
        <v>32437.172396903832</v>
      </c>
      <c r="G60" s="63">
        <v>0.26700000000000002</v>
      </c>
      <c r="H60" s="64">
        <v>0.7</v>
      </c>
      <c r="I60" s="33">
        <f>F60/H60*G60</f>
        <v>12372.46432853332</v>
      </c>
      <c r="J60" s="32"/>
      <c r="L60" s="89">
        <f>12947*D47*G60/0.281</f>
        <v>12653.136994455814</v>
      </c>
    </row>
    <row r="61" spans="1:14" hidden="1">
      <c r="A61" s="30" t="str">
        <f>A53</f>
        <v>Elovn/elvarme</v>
      </c>
      <c r="B61" s="31"/>
      <c r="C61" s="32">
        <f>D$8+D$7</f>
        <v>1646</v>
      </c>
      <c r="D61" s="32">
        <f>C61+C61/C63*D$10</f>
        <v>1810.4832071901608</v>
      </c>
      <c r="E61" s="62">
        <f>D61/D63</f>
        <v>0.19465468306527908</v>
      </c>
      <c r="F61" s="170">
        <f>Elfosyning!P15/1000</f>
        <v>11452.14435100588</v>
      </c>
      <c r="G61" s="226">
        <f>Elfosyning!F4/1000</f>
        <v>0.358640917979339</v>
      </c>
      <c r="H61" s="64">
        <v>1</v>
      </c>
      <c r="I61" s="33">
        <f>F61/H61*G61</f>
        <v>4107.2075628766506</v>
      </c>
      <c r="J61" s="32"/>
      <c r="L61" s="89"/>
    </row>
    <row r="62" spans="1:14" hidden="1">
      <c r="A62" s="30" t="str">
        <f>A54</f>
        <v>Andre ovne (brændeovne mv.)</v>
      </c>
      <c r="B62" s="31"/>
      <c r="C62" s="32">
        <f>D$9+D$6</f>
        <v>1716</v>
      </c>
      <c r="D62" s="32">
        <f>C62+C62/C63*D$10</f>
        <v>1887.4782403027436</v>
      </c>
      <c r="E62" s="62">
        <f>D62/D63</f>
        <v>0.20293282876064334</v>
      </c>
      <c r="F62" s="271">
        <f>(D$43-$F$61/1000)*D62/($D$63-$D$61)*1000</f>
        <v>10927.009782702589</v>
      </c>
      <c r="G62" s="60">
        <v>4.7E-2</v>
      </c>
      <c r="H62" s="61">
        <v>1</v>
      </c>
      <c r="I62" s="33">
        <f>F62/H62*G62</f>
        <v>513.56945978702174</v>
      </c>
      <c r="J62" s="32"/>
      <c r="L62" s="89">
        <f>543*D47/0.049*G62</f>
        <v>535.70503489949783</v>
      </c>
    </row>
    <row r="63" spans="1:14" ht="15.75" hidden="1" thickBot="1">
      <c r="A63" s="36" t="str">
        <f>A55</f>
        <v>I alt individuel opvarmning af boliger</v>
      </c>
      <c r="B63" s="37"/>
      <c r="C63" s="38">
        <f>SUM(C59:C62)</f>
        <v>8456</v>
      </c>
      <c r="D63" s="38">
        <f>SUM(D59:D62)</f>
        <v>9301</v>
      </c>
      <c r="E63" s="65">
        <f>SUM(E59:E62)</f>
        <v>1</v>
      </c>
      <c r="F63" s="38">
        <f>SUM(F59:F62)</f>
        <v>54816.326530612299</v>
      </c>
      <c r="G63" s="83"/>
      <c r="H63" s="84"/>
      <c r="I63" s="39">
        <f>SUM(I59:I62)</f>
        <v>16993.24135119699</v>
      </c>
      <c r="J63" s="32"/>
      <c r="L63" s="90">
        <f>SUM(L59:L62)-1</f>
        <v>13187.842029355312</v>
      </c>
    </row>
    <row r="64" spans="1:14" hidden="1">
      <c r="D64" s="4"/>
      <c r="E64" s="5"/>
      <c r="F64" s="5"/>
      <c r="I64" s="3"/>
      <c r="J64" s="3"/>
      <c r="K64" s="3"/>
      <c r="L64" s="3"/>
    </row>
    <row r="65" spans="1:12" ht="15.75" hidden="1" thickBot="1">
      <c r="D65" s="4"/>
      <c r="E65" s="5"/>
      <c r="F65" s="5"/>
    </row>
    <row r="66" spans="1:12" ht="46.5" hidden="1">
      <c r="A66" s="80" t="str">
        <f>CONCATENATE("Opvarmningsform ",E$1)</f>
        <v>Opvarmningsform 2013</v>
      </c>
      <c r="B66" s="81"/>
      <c r="C66" s="87" t="s">
        <v>26</v>
      </c>
      <c r="D66" s="87" t="s">
        <v>27</v>
      </c>
      <c r="E66" s="86" t="s">
        <v>28</v>
      </c>
      <c r="F66" s="87" t="s">
        <v>29</v>
      </c>
      <c r="G66" s="81" t="s">
        <v>67</v>
      </c>
      <c r="H66" s="81" t="s">
        <v>30</v>
      </c>
      <c r="I66" s="82" t="str">
        <f>CONCATENATE("Beregnet CO2-emission tons/år, ",E$1)</f>
        <v>Beregnet CO2-emission tons/år, 2013</v>
      </c>
      <c r="J66" s="434"/>
    </row>
    <row r="67" spans="1:12" hidden="1">
      <c r="A67" s="30" t="str">
        <f>A59</f>
        <v>Naturgas</v>
      </c>
      <c r="B67" s="31"/>
      <c r="C67" s="32">
        <f>E$5</f>
        <v>0</v>
      </c>
      <c r="D67" s="137">
        <f>C67+C67/C71*$E$10</f>
        <v>0</v>
      </c>
      <c r="E67" s="62">
        <f>D67/D71</f>
        <v>0</v>
      </c>
      <c r="F67" s="32">
        <f>(E$45-F69/1000)*D67/(D71-D69)*1000</f>
        <v>0</v>
      </c>
      <c r="G67" s="63">
        <v>0.20499999999999999</v>
      </c>
      <c r="H67" s="64">
        <v>0</v>
      </c>
      <c r="I67" s="33">
        <v>0</v>
      </c>
      <c r="J67" s="32"/>
    </row>
    <row r="68" spans="1:12" hidden="1">
      <c r="A68" s="30" t="str">
        <f>A60</f>
        <v>Gasolie</v>
      </c>
      <c r="B68" s="31"/>
      <c r="C68" s="32">
        <f>E$4</f>
        <v>5065</v>
      </c>
      <c r="D68" s="32">
        <f>C68+C68/C71*E$10</f>
        <v>5559.1314808131838</v>
      </c>
      <c r="E68" s="62">
        <f>D68/D71</f>
        <v>0.60928665944905569</v>
      </c>
      <c r="F68" s="32">
        <f>(E$43-F69/1000)*D68/(D71-D69)*1000</f>
        <v>37397.797758447683</v>
      </c>
      <c r="G68" s="63">
        <v>0.26700000000000002</v>
      </c>
      <c r="H68" s="64">
        <v>0.7</v>
      </c>
      <c r="I68" s="33">
        <f>F68/H68*G68</f>
        <v>14264.588573579333</v>
      </c>
      <c r="J68" s="32"/>
    </row>
    <row r="69" spans="1:12" hidden="1">
      <c r="A69" s="30" t="str">
        <f>A61</f>
        <v>Elovn/elvarme</v>
      </c>
      <c r="B69" s="31"/>
      <c r="C69" s="32">
        <f>E$8+E$7</f>
        <v>1603</v>
      </c>
      <c r="D69" s="32">
        <f>C69+C69/C71*E$10</f>
        <v>1759.3855407193553</v>
      </c>
      <c r="E69" s="62">
        <f>D69/D71</f>
        <v>0.19283050643570313</v>
      </c>
      <c r="F69" s="170">
        <f>Elfosyning!Q15/1000</f>
        <v>11574</v>
      </c>
      <c r="G69" s="226">
        <f>Elfosyning!G4/1000</f>
        <v>0.42820295738038072</v>
      </c>
      <c r="H69" s="64">
        <v>1</v>
      </c>
      <c r="I69" s="33">
        <f>F69/H69*G69</f>
        <v>4956.0210287205264</v>
      </c>
      <c r="J69" s="32"/>
    </row>
    <row r="70" spans="1:12" hidden="1">
      <c r="A70" s="30" t="str">
        <f>A62</f>
        <v>Andre ovne (brændeovne mv.)</v>
      </c>
      <c r="B70" s="31"/>
      <c r="C70" s="32">
        <f>E$9+E$6</f>
        <v>1645</v>
      </c>
      <c r="D70" s="32">
        <f>C70+C70/C71*E$10</f>
        <v>1805.4829784674607</v>
      </c>
      <c r="E70" s="62">
        <f>D70/D71</f>
        <v>0.19788283411524121</v>
      </c>
      <c r="F70" s="32">
        <f>(E$43-$F$69/1000)*D70/($D$71-$D$69)*1000</f>
        <v>12145.977751756454</v>
      </c>
      <c r="G70" s="60">
        <v>4.7E-2</v>
      </c>
      <c r="H70" s="61">
        <v>1</v>
      </c>
      <c r="I70" s="33">
        <f>F70/H70*G70</f>
        <v>570.86095433255332</v>
      </c>
      <c r="J70" s="32"/>
    </row>
    <row r="71" spans="1:12" ht="15.75" hidden="1" thickBot="1">
      <c r="A71" s="36" t="str">
        <f>A63</f>
        <v>I alt individuel opvarmning af boliger</v>
      </c>
      <c r="B71" s="37"/>
      <c r="C71" s="38">
        <f>SUM(C67:C70)</f>
        <v>8313</v>
      </c>
      <c r="D71" s="38">
        <f>SUM(D67:D70)</f>
        <v>9124</v>
      </c>
      <c r="E71" s="65">
        <f>SUM(E67:E70)</f>
        <v>1</v>
      </c>
      <c r="F71" s="38">
        <f>SUM(F67:F70)</f>
        <v>61117.775510204141</v>
      </c>
      <c r="G71" s="83"/>
      <c r="H71" s="84"/>
      <c r="I71" s="39">
        <f>SUM(I67:I70)</f>
        <v>19791.470556632416</v>
      </c>
      <c r="J71" s="32"/>
    </row>
    <row r="73" spans="1:12" ht="15.75" thickBot="1"/>
    <row r="74" spans="1:12" ht="46.5">
      <c r="A74" s="80" t="str">
        <f>CONCATENATE("Opvarmningsform ",F$1)</f>
        <v>Opvarmningsform 2014</v>
      </c>
      <c r="B74" s="81"/>
      <c r="C74" s="87" t="s">
        <v>26</v>
      </c>
      <c r="D74" s="87" t="s">
        <v>27</v>
      </c>
      <c r="E74" s="86" t="s">
        <v>28</v>
      </c>
      <c r="F74" s="87" t="s">
        <v>29</v>
      </c>
      <c r="G74" s="81" t="s">
        <v>67</v>
      </c>
      <c r="H74" s="81" t="s">
        <v>30</v>
      </c>
      <c r="I74" s="82" t="str">
        <f>CONCATENATE("Beregnet CO2-emission tons/år, ",F$1)</f>
        <v>Beregnet CO2-emission tons/år, 2014</v>
      </c>
      <c r="J74" s="434"/>
    </row>
    <row r="75" spans="1:12">
      <c r="A75" s="30" t="str">
        <f>A67</f>
        <v>Naturgas</v>
      </c>
      <c r="B75" s="31"/>
      <c r="C75" s="194">
        <f>F$5</f>
        <v>0</v>
      </c>
      <c r="D75" s="328">
        <f>C75+C75/C79*$E$10</f>
        <v>0</v>
      </c>
      <c r="E75" s="329">
        <f>D75/D79</f>
        <v>0</v>
      </c>
      <c r="F75" s="32">
        <f>(E$45-F77/1000)*D75/(D79-D77)*1000</f>
        <v>0</v>
      </c>
      <c r="G75" s="63">
        <v>0.20499999999999999</v>
      </c>
      <c r="H75" s="64">
        <v>0</v>
      </c>
      <c r="I75" s="33">
        <v>0</v>
      </c>
      <c r="J75" s="32"/>
    </row>
    <row r="76" spans="1:12">
      <c r="A76" s="30" t="str">
        <f>A68</f>
        <v>Gasolie</v>
      </c>
      <c r="B76" s="31"/>
      <c r="C76" s="194">
        <f>F$4</f>
        <v>4979</v>
      </c>
      <c r="D76" s="194">
        <f>C76+C76/C79*F$10</f>
        <v>5110.563553530752</v>
      </c>
      <c r="E76" s="329">
        <f>D76/D79</f>
        <v>0.56708428246013676</v>
      </c>
      <c r="F76" s="32">
        <f>(F$43-F77/1000)*D76/(D79-D77)*1000</f>
        <v>27089.196199237675</v>
      </c>
      <c r="G76" s="63">
        <v>0.26700000000000002</v>
      </c>
      <c r="H76" s="64">
        <v>0.7</v>
      </c>
      <c r="I76" s="33">
        <f>F76/H76*G76</f>
        <v>10332.593407423514</v>
      </c>
      <c r="J76" s="32"/>
    </row>
    <row r="77" spans="1:12">
      <c r="A77" s="30" t="str">
        <f>A69</f>
        <v>Elovn/elvarme</v>
      </c>
      <c r="B77" s="31"/>
      <c r="C77" s="194">
        <f>F$8+F$7</f>
        <v>1761</v>
      </c>
      <c r="D77" s="194">
        <f>C77+C77/C79*F$10</f>
        <v>1807.5321184510251</v>
      </c>
      <c r="E77" s="329">
        <f>D77/D79</f>
        <v>0.20056947608200457</v>
      </c>
      <c r="F77" s="170">
        <f>Elfosyning!R15/1000</f>
        <v>11338</v>
      </c>
      <c r="G77" s="226">
        <f>Elfosyning!H4/1000</f>
        <v>0.34587066661739546</v>
      </c>
      <c r="H77" s="64">
        <v>1</v>
      </c>
      <c r="I77" s="33">
        <f>F77/H77*G77</f>
        <v>3921.4816181080296</v>
      </c>
      <c r="J77" s="32"/>
    </row>
    <row r="78" spans="1:12">
      <c r="A78" s="30" t="str">
        <f>A70</f>
        <v>Andre ovne (brændeovne mv.)</v>
      </c>
      <c r="B78" s="31"/>
      <c r="C78" s="194">
        <f>F$9+F$6</f>
        <v>2040</v>
      </c>
      <c r="D78" s="194">
        <f>C78+C78/C79*F$10</f>
        <v>2093.9043280182232</v>
      </c>
      <c r="E78" s="329">
        <f>D78/D79</f>
        <v>0.23234624145785876</v>
      </c>
      <c r="F78" s="32">
        <f>(F$43-F77/1000)*D78/($D$79-$D$77)*1000</f>
        <v>11099.00788239503</v>
      </c>
      <c r="G78" s="60">
        <v>4.7E-2</v>
      </c>
      <c r="H78" s="61">
        <v>1</v>
      </c>
      <c r="I78" s="33">
        <f>F78/H78*G78</f>
        <v>521.65337047256639</v>
      </c>
      <c r="J78" s="32"/>
    </row>
    <row r="79" spans="1:12" ht="15.75" thickBot="1">
      <c r="A79" s="36" t="str">
        <f>A71</f>
        <v>I alt individuel opvarmning af boliger</v>
      </c>
      <c r="B79" s="37"/>
      <c r="C79" s="195">
        <f>SUM(C75:C78)</f>
        <v>8780</v>
      </c>
      <c r="D79" s="195">
        <f>SUM(D75:D78)</f>
        <v>9012</v>
      </c>
      <c r="E79" s="330">
        <f>SUM(E75:E78)</f>
        <v>1</v>
      </c>
      <c r="F79" s="38">
        <f>SUM(F75:F78)</f>
        <v>49526.204081632706</v>
      </c>
      <c r="G79" s="83"/>
      <c r="H79" s="84"/>
      <c r="I79" s="39">
        <f>SUM(I75:I78)</f>
        <v>14775.72839600411</v>
      </c>
      <c r="J79" s="32"/>
      <c r="L79" s="188"/>
    </row>
    <row r="80" spans="1:12">
      <c r="L80" s="188"/>
    </row>
    <row r="81" spans="1:13" ht="15.75" thickBot="1">
      <c r="L81" s="188"/>
    </row>
    <row r="82" spans="1:13" ht="46.5">
      <c r="A82" s="80" t="str">
        <f>CONCATENATE("Opvarmningsform ",G$1)</f>
        <v>Opvarmningsform 2015</v>
      </c>
      <c r="B82" s="81"/>
      <c r="C82" s="87" t="s">
        <v>26</v>
      </c>
      <c r="D82" s="87" t="s">
        <v>27</v>
      </c>
      <c r="E82" s="86" t="s">
        <v>28</v>
      </c>
      <c r="F82" s="87" t="s">
        <v>29</v>
      </c>
      <c r="G82" s="81" t="s">
        <v>67</v>
      </c>
      <c r="H82" s="81" t="s">
        <v>30</v>
      </c>
      <c r="I82" s="82" t="str">
        <f>CONCATENATE("Beregnet CO2-emission tons/år, ",G$1)</f>
        <v>Beregnet CO2-emission tons/år, 2015</v>
      </c>
      <c r="J82" s="434"/>
      <c r="L82" s="188"/>
    </row>
    <row r="83" spans="1:13">
      <c r="A83" s="30" t="str">
        <f>A75</f>
        <v>Naturgas</v>
      </c>
      <c r="B83" s="31"/>
      <c r="C83" s="194">
        <f>G$5</f>
        <v>0</v>
      </c>
      <c r="D83" s="328">
        <f>C83+C83/C87*$G$10</f>
        <v>0</v>
      </c>
      <c r="E83" s="329">
        <f>D83/D87</f>
        <v>0</v>
      </c>
      <c r="F83" s="32">
        <f>(G$45-F85/1000)*D83/(D87-D85)*1000</f>
        <v>0</v>
      </c>
      <c r="G83" s="63">
        <v>0.20499999999999999</v>
      </c>
      <c r="H83" s="64">
        <v>0</v>
      </c>
      <c r="I83" s="33">
        <v>0</v>
      </c>
      <c r="J83" s="32"/>
      <c r="L83" s="188"/>
    </row>
    <row r="84" spans="1:13">
      <c r="A84" s="30" t="str">
        <f>A76</f>
        <v>Gasolie</v>
      </c>
      <c r="B84" s="31"/>
      <c r="C84" s="194">
        <f>G$4</f>
        <v>4899</v>
      </c>
      <c r="D84" s="194">
        <f>C84+C84/C87*G$10</f>
        <v>5066.0826446280989</v>
      </c>
      <c r="E84" s="329">
        <f>D84/D87</f>
        <v>0.57024793388429751</v>
      </c>
      <c r="F84" s="32">
        <f>(G$43-F85/1000)*D84/(D87-D85)*1000</f>
        <v>19562.983016304912</v>
      </c>
      <c r="G84" s="63">
        <v>0.26700000000000002</v>
      </c>
      <c r="H84" s="64">
        <v>0.7</v>
      </c>
      <c r="I84" s="33">
        <f>F84/H84*G84</f>
        <v>7461.8806647905885</v>
      </c>
      <c r="J84" s="32"/>
      <c r="L84" s="188"/>
    </row>
    <row r="85" spans="1:13">
      <c r="A85" s="30" t="str">
        <f>A77</f>
        <v>Elovn/elvarme</v>
      </c>
      <c r="B85" s="31"/>
      <c r="C85" s="194">
        <f>G$8+G$7</f>
        <v>1778</v>
      </c>
      <c r="D85" s="194">
        <f>C85+C85/C87*G$10</f>
        <v>1838.6395064602491</v>
      </c>
      <c r="E85" s="329">
        <f>D85/D87</f>
        <v>0.20696077290187406</v>
      </c>
      <c r="F85" s="170">
        <f>Elfosyning!S15/1000</f>
        <v>11793.884</v>
      </c>
      <c r="G85" s="226">
        <f>Elfosyning!I4/1000</f>
        <v>0.24558627845287193</v>
      </c>
      <c r="H85" s="64">
        <v>1</v>
      </c>
      <c r="I85" s="33">
        <f>F85/H85*G85</f>
        <v>2896.416080064871</v>
      </c>
      <c r="J85" s="32"/>
      <c r="L85" s="188"/>
      <c r="M85" s="171"/>
    </row>
    <row r="86" spans="1:13">
      <c r="A86" s="30" t="str">
        <f>A78</f>
        <v>Andre ovne (brændeovne mv.)</v>
      </c>
      <c r="B86" s="31"/>
      <c r="C86" s="194">
        <f>G$9+G$6</f>
        <v>1914</v>
      </c>
      <c r="D86" s="194">
        <f>C86+C86/C87*G$10</f>
        <v>1979.2778489116517</v>
      </c>
      <c r="E86" s="329">
        <f>D86/D87</f>
        <v>0.22279129321382843</v>
      </c>
      <c r="F86" s="32">
        <f>(G$43-F85/1000)*D86/($D$87-$D$85)*1000</f>
        <v>7643.1005293340695</v>
      </c>
      <c r="G86" s="60">
        <v>4.7E-2</v>
      </c>
      <c r="H86" s="61">
        <v>1</v>
      </c>
      <c r="I86" s="33">
        <f>F86/H86*G86</f>
        <v>359.22572487870127</v>
      </c>
      <c r="J86" s="32"/>
      <c r="L86" s="188"/>
    </row>
    <row r="87" spans="1:13" ht="15.75" thickBot="1">
      <c r="A87" s="36" t="str">
        <f>A79</f>
        <v>I alt individuel opvarmning af boliger</v>
      </c>
      <c r="B87" s="37"/>
      <c r="C87" s="195">
        <f>SUM(C83:C86)</f>
        <v>8591</v>
      </c>
      <c r="D87" s="195">
        <f>SUM(D83:D86)</f>
        <v>8884</v>
      </c>
      <c r="E87" s="330">
        <f>SUM(E83:E86)</f>
        <v>1</v>
      </c>
      <c r="F87" s="38">
        <f>SUM(F83:F86)</f>
        <v>38999.967545638981</v>
      </c>
      <c r="G87" s="83"/>
      <c r="H87" s="84"/>
      <c r="I87" s="39">
        <f>SUM(I83:I86)</f>
        <v>10717.52246973416</v>
      </c>
      <c r="J87" s="32"/>
      <c r="L87" s="188"/>
    </row>
    <row r="88" spans="1:13">
      <c r="L88" s="188"/>
    </row>
    <row r="89" spans="1:13" ht="15.75" thickBot="1">
      <c r="L89" s="188"/>
    </row>
    <row r="90" spans="1:13" ht="46.5">
      <c r="A90" s="80" t="str">
        <f>CONCATENATE("Opvarmningsform ",H$1)</f>
        <v>Opvarmningsform 2016</v>
      </c>
      <c r="B90" s="81"/>
      <c r="C90" s="87" t="s">
        <v>26</v>
      </c>
      <c r="D90" s="87" t="s">
        <v>27</v>
      </c>
      <c r="E90" s="86" t="s">
        <v>28</v>
      </c>
      <c r="F90" s="87" t="s">
        <v>29</v>
      </c>
      <c r="G90" s="81" t="s">
        <v>67</v>
      </c>
      <c r="H90" s="81" t="s">
        <v>30</v>
      </c>
      <c r="I90" s="82" t="str">
        <f>CONCATENATE("Beregnet CO2-emission tons/år, ",H$1)</f>
        <v>Beregnet CO2-emission tons/år, 2016</v>
      </c>
      <c r="J90" s="434"/>
      <c r="L90" s="188"/>
    </row>
    <row r="91" spans="1:13">
      <c r="A91" s="30" t="str">
        <f>A83</f>
        <v>Naturgas</v>
      </c>
      <c r="B91" s="31"/>
      <c r="C91" s="194">
        <f>G$5</f>
        <v>0</v>
      </c>
      <c r="D91" s="328">
        <f>C91+C91/C95*$H$10</f>
        <v>0</v>
      </c>
      <c r="E91" s="329">
        <f>D91/D95</f>
        <v>0</v>
      </c>
      <c r="F91" s="32">
        <f>(H$43-F93/1000)*D91/(D95-D93)*1000</f>
        <v>0</v>
      </c>
      <c r="G91" s="63">
        <v>0.20499999999999999</v>
      </c>
      <c r="H91" s="64">
        <v>0</v>
      </c>
      <c r="I91" s="33">
        <v>0</v>
      </c>
      <c r="J91" s="32"/>
      <c r="L91" s="188"/>
    </row>
    <row r="92" spans="1:13">
      <c r="A92" s="30" t="str">
        <f>A84</f>
        <v>Gasolie</v>
      </c>
      <c r="B92" s="31"/>
      <c r="C92" s="194">
        <f>H$4</f>
        <v>4688</v>
      </c>
      <c r="D92" s="194">
        <f>C92+C92/C95*H$10</f>
        <v>4759.0216943400801</v>
      </c>
      <c r="E92" s="329">
        <f>D92/D95</f>
        <v>0.56817355472063991</v>
      </c>
      <c r="F92" s="32">
        <f>(H$43-F93/1000)*D92/(D95-D93)*1000</f>
        <v>22315.531054174109</v>
      </c>
      <c r="G92" s="63">
        <v>0.26700000000000002</v>
      </c>
      <c r="H92" s="64">
        <v>0.7</v>
      </c>
      <c r="I92" s="33">
        <f>F92/H92*G92</f>
        <v>8511.781130663554</v>
      </c>
      <c r="J92" s="32"/>
    </row>
    <row r="93" spans="1:13">
      <c r="A93" s="30" t="str">
        <f>A85</f>
        <v>Elovn/elvarme</v>
      </c>
      <c r="B93" s="31"/>
      <c r="C93" s="194">
        <f>H$8+H$7</f>
        <v>1727</v>
      </c>
      <c r="D93" s="194">
        <f>C93+C93/C95*H$10</f>
        <v>1753.1634953338989</v>
      </c>
      <c r="E93" s="329">
        <f>D93/D95</f>
        <v>0.20930796267119137</v>
      </c>
      <c r="F93" s="170">
        <f>Elfosyning!V15/1000</f>
        <v>11793.884</v>
      </c>
      <c r="G93" s="226">
        <f>Elfosyning!J4/1000</f>
        <v>0.3016641496368071</v>
      </c>
      <c r="H93" s="64">
        <v>1</v>
      </c>
      <c r="I93" s="33">
        <f>F93/H93*G93</f>
        <v>3557.7919877751451</v>
      </c>
      <c r="J93" s="32"/>
    </row>
    <row r="94" spans="1:13">
      <c r="A94" s="30" t="str">
        <f>A86</f>
        <v>Andre ovne (brændeovne mv.)</v>
      </c>
      <c r="B94" s="31"/>
      <c r="C94" s="194">
        <f>H$9+H$6</f>
        <v>1836</v>
      </c>
      <c r="D94" s="194">
        <f>C94+C94/C95*H$10</f>
        <v>1863.8148103260212</v>
      </c>
      <c r="E94" s="329">
        <f>D94/D95</f>
        <v>0.22251848260816873</v>
      </c>
      <c r="F94" s="32">
        <f>(H$43-F93/1000)*D94/($D$95-$D$93)*1000</f>
        <v>8739.6149777012943</v>
      </c>
      <c r="G94" s="60">
        <v>4.7E-2</v>
      </c>
      <c r="H94" s="61">
        <v>1</v>
      </c>
      <c r="I94" s="33">
        <f>F94/H94*G94</f>
        <v>410.76190395196085</v>
      </c>
      <c r="J94" s="32"/>
    </row>
    <row r="95" spans="1:13" ht="15.75" thickBot="1">
      <c r="A95" s="36" t="str">
        <f>A87</f>
        <v>I alt individuel opvarmning af boliger</v>
      </c>
      <c r="B95" s="37"/>
      <c r="C95" s="195">
        <f>SUM(C91:C94)</f>
        <v>8251</v>
      </c>
      <c r="D95" s="195">
        <f>SUM(D91:D94)</f>
        <v>8376</v>
      </c>
      <c r="E95" s="330">
        <f>SUM(E91:E94)</f>
        <v>1</v>
      </c>
      <c r="F95" s="38">
        <f>SUM(F91:F94)</f>
        <v>42849.030031875402</v>
      </c>
      <c r="G95" s="83"/>
      <c r="H95" s="84"/>
      <c r="I95" s="39">
        <f>SUM(I91:I94)</f>
        <v>12480.33502239066</v>
      </c>
      <c r="J95" s="32"/>
    </row>
    <row r="97" spans="1:10">
      <c r="F97" s="396" t="s">
        <v>306</v>
      </c>
    </row>
    <row r="98" spans="1:10" ht="15.75" thickBot="1"/>
    <row r="99" spans="1:10" ht="46.5">
      <c r="A99" s="80" t="str">
        <f>CONCATENATE("Opvarmningsform ",I$1)</f>
        <v>Opvarmningsform 2017</v>
      </c>
      <c r="B99" s="81"/>
      <c r="C99" s="87" t="s">
        <v>26</v>
      </c>
      <c r="D99" s="87" t="s">
        <v>27</v>
      </c>
      <c r="E99" s="86" t="s">
        <v>28</v>
      </c>
      <c r="F99" s="87" t="s">
        <v>29</v>
      </c>
      <c r="G99" s="81" t="s">
        <v>67</v>
      </c>
      <c r="H99" s="81" t="s">
        <v>30</v>
      </c>
      <c r="I99" s="82" t="str">
        <f>CONCATENATE("Beregnet CO2-emission tons/år, ",I$1)</f>
        <v>Beregnet CO2-emission tons/år, 2017</v>
      </c>
      <c r="J99" s="464"/>
    </row>
    <row r="100" spans="1:10">
      <c r="A100" s="30" t="str">
        <f>A91</f>
        <v>Naturgas</v>
      </c>
      <c r="B100" s="31"/>
      <c r="C100" s="194">
        <f>G$5</f>
        <v>0</v>
      </c>
      <c r="D100" s="328">
        <f>C100+C100/C104*$H$10</f>
        <v>0</v>
      </c>
      <c r="E100" s="329">
        <f>D100/D104</f>
        <v>0</v>
      </c>
      <c r="F100" s="32">
        <f>(I$43-F102/1000)*D100/(D104-D102)*1000</f>
        <v>0</v>
      </c>
      <c r="G100" s="63">
        <v>0.20499999999999999</v>
      </c>
      <c r="H100" s="64">
        <v>0</v>
      </c>
      <c r="I100" s="33">
        <v>0</v>
      </c>
      <c r="J100" s="383"/>
    </row>
    <row r="101" spans="1:10">
      <c r="A101" s="30" t="str">
        <f>A92</f>
        <v>Gasolie</v>
      </c>
      <c r="B101" s="31"/>
      <c r="C101" s="383">
        <f>I$4</f>
        <v>4567</v>
      </c>
      <c r="D101" s="194">
        <f>C101+C101/C104*I$10</f>
        <v>4724.620109643658</v>
      </c>
      <c r="E101" s="329">
        <f>D101/D104</f>
        <v>0.56902566658360332</v>
      </c>
      <c r="F101" s="32">
        <f>(I$43-F102/1000)*D101/(D104-D102)*1000</f>
        <v>22039.152944450972</v>
      </c>
      <c r="G101" s="63">
        <v>0.26700000000000002</v>
      </c>
      <c r="H101" s="64">
        <v>0.7</v>
      </c>
      <c r="I101" s="33">
        <f>F101/H101*G101</f>
        <v>8406.3626230977297</v>
      </c>
      <c r="J101" s="383"/>
    </row>
    <row r="102" spans="1:10">
      <c r="A102" s="30" t="str">
        <f>A93</f>
        <v>Elovn/elvarme</v>
      </c>
      <c r="B102" s="31"/>
      <c r="C102" s="383">
        <f>I$8+I$7</f>
        <v>1710</v>
      </c>
      <c r="D102" s="194">
        <f>C102+C102/C104*I$10</f>
        <v>1769.0169449289808</v>
      </c>
      <c r="E102" s="329">
        <f>D102/D104</f>
        <v>0.21305756292050834</v>
      </c>
      <c r="F102" s="170">
        <f>Elfosyning!V15/1000</f>
        <v>11793.884</v>
      </c>
      <c r="G102" s="226">
        <f>Elfosyning!K4/1000</f>
        <v>0.22865852084850108</v>
      </c>
      <c r="H102" s="64">
        <v>1</v>
      </c>
      <c r="I102" s="33">
        <f>F102/H102*G102</f>
        <v>2696.7720704988033</v>
      </c>
      <c r="J102" s="383"/>
    </row>
    <row r="103" spans="1:10">
      <c r="A103" s="30" t="str">
        <f>A94</f>
        <v>Andre ovne (brændeovne mv.)</v>
      </c>
      <c r="B103" s="31"/>
      <c r="C103" s="383">
        <f>I$9+I$6</f>
        <v>1749</v>
      </c>
      <c r="D103" s="194">
        <f>C103+C103/C104*I$10</f>
        <v>1809.3629454273612</v>
      </c>
      <c r="E103" s="329">
        <f>D103/D104</f>
        <v>0.21791677049588837</v>
      </c>
      <c r="F103" s="32">
        <f>(I$43-F102/1000)*D103/($D$104-$D$102)*1000</f>
        <v>8440.2186336423783</v>
      </c>
      <c r="G103" s="60">
        <v>4.7E-2</v>
      </c>
      <c r="H103" s="61">
        <v>1</v>
      </c>
      <c r="I103" s="33">
        <f>F103/H103*G103</f>
        <v>396.69027578119176</v>
      </c>
      <c r="J103" s="383"/>
    </row>
    <row r="104" spans="1:10" ht="15.75" thickBot="1">
      <c r="A104" s="36" t="str">
        <f>A95</f>
        <v>I alt individuel opvarmning af boliger</v>
      </c>
      <c r="B104" s="37"/>
      <c r="C104" s="384">
        <f>SUM(C100:C103)</f>
        <v>8026</v>
      </c>
      <c r="D104" s="195">
        <f>SUM(D100:D103)</f>
        <v>8303</v>
      </c>
      <c r="E104" s="330">
        <f>SUM(E100:E103)</f>
        <v>1</v>
      </c>
      <c r="F104" s="38">
        <f>SUM(F100:F103)</f>
        <v>42273.255578093347</v>
      </c>
      <c r="G104" s="83"/>
      <c r="H104" s="84"/>
      <c r="I104" s="39">
        <f>SUM(I100:I103)</f>
        <v>11499.824969377725</v>
      </c>
      <c r="J104" s="383"/>
    </row>
    <row r="106" spans="1:10">
      <c r="F106" s="396" t="s">
        <v>306</v>
      </c>
    </row>
    <row r="107" spans="1:10">
      <c r="D107" s="171"/>
    </row>
  </sheetData>
  <mergeCells count="2">
    <mergeCell ref="B2:G2"/>
    <mergeCell ref="M6:O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2:N35"/>
  <sheetViews>
    <sheetView workbookViewId="0">
      <selection activeCell="J25" sqref="J25:J27"/>
    </sheetView>
  </sheetViews>
  <sheetFormatPr defaultRowHeight="15"/>
  <cols>
    <col min="2" max="2" width="26" bestFit="1" customWidth="1"/>
    <col min="3" max="3" width="23.7109375" customWidth="1"/>
    <col min="4" max="4" width="16.28515625" bestFit="1" customWidth="1"/>
    <col min="5" max="5" width="13.7109375" bestFit="1" customWidth="1"/>
    <col min="6" max="6" width="12.7109375" customWidth="1"/>
    <col min="7" max="7" width="13.7109375" bestFit="1" customWidth="1"/>
    <col min="8" max="8" width="13.28515625" customWidth="1"/>
    <col min="9" max="9" width="13.7109375" bestFit="1" customWidth="1"/>
    <col min="10" max="10" width="11" bestFit="1" customWidth="1"/>
    <col min="12" max="12" width="13.7109375" bestFit="1" customWidth="1"/>
    <col min="14" max="14" width="13.7109375" bestFit="1" customWidth="1"/>
  </cols>
  <sheetData>
    <row r="2" spans="1:12" ht="15.75" thickBot="1">
      <c r="A2" s="31"/>
      <c r="B2" s="31"/>
      <c r="C2" s="31"/>
      <c r="D2" s="43">
        <v>2011</v>
      </c>
      <c r="E2" s="43">
        <f t="shared" ref="E2:J2" si="0">D2+1</f>
        <v>2012</v>
      </c>
      <c r="F2" s="43">
        <f t="shared" si="0"/>
        <v>2013</v>
      </c>
      <c r="G2" s="43">
        <f t="shared" si="0"/>
        <v>2014</v>
      </c>
      <c r="H2" s="43">
        <f t="shared" si="0"/>
        <v>2015</v>
      </c>
      <c r="I2" s="43">
        <f t="shared" si="0"/>
        <v>2016</v>
      </c>
      <c r="J2" s="43">
        <f t="shared" si="0"/>
        <v>2017</v>
      </c>
    </row>
    <row r="3" spans="1:12">
      <c r="A3" s="31"/>
      <c r="B3" s="9" t="s">
        <v>47</v>
      </c>
      <c r="C3" s="10" t="s">
        <v>64</v>
      </c>
      <c r="D3" s="96">
        <v>18.100000000000001</v>
      </c>
      <c r="E3" s="96">
        <v>21.3</v>
      </c>
      <c r="F3" s="326">
        <f>F15/10^6</f>
        <v>24.630545000000001</v>
      </c>
      <c r="G3" s="326">
        <f>G15/10^6</f>
        <v>24.327272727272728</v>
      </c>
      <c r="H3" s="326">
        <f>H15/10^6</f>
        <v>24.418181818181822</v>
      </c>
      <c r="I3" s="326">
        <f>I15/10^6</f>
        <v>25</v>
      </c>
      <c r="J3" s="272">
        <f>J15/10^6</f>
        <v>26</v>
      </c>
      <c r="K3" s="340"/>
    </row>
    <row r="4" spans="1:12">
      <c r="A4" s="31"/>
      <c r="B4" s="30" t="s">
        <v>48</v>
      </c>
      <c r="C4" s="31"/>
      <c r="D4" s="234">
        <f>E4</f>
        <v>0.05</v>
      </c>
      <c r="E4" s="234">
        <v>0.05</v>
      </c>
      <c r="F4" s="327">
        <f>F5/F3</f>
        <v>3.6539995359420589E-2</v>
      </c>
      <c r="G4" s="327">
        <f>G5/G3</f>
        <v>3.2884902840059793E-2</v>
      </c>
      <c r="H4" s="327">
        <f>H5/H3</f>
        <v>0</v>
      </c>
      <c r="I4" s="327">
        <f>I5/I3</f>
        <v>0</v>
      </c>
      <c r="J4" s="235">
        <f>J5/J3</f>
        <v>0</v>
      </c>
      <c r="K4" s="340"/>
    </row>
    <row r="5" spans="1:12">
      <c r="A5" s="31"/>
      <c r="B5" s="30" t="s">
        <v>48</v>
      </c>
      <c r="C5" s="31" t="s">
        <v>64</v>
      </c>
      <c r="D5" s="63">
        <f>E5</f>
        <v>1.2</v>
      </c>
      <c r="E5" s="63">
        <v>1.2</v>
      </c>
      <c r="F5" s="63">
        <v>0.9</v>
      </c>
      <c r="G5" s="63">
        <v>0.8</v>
      </c>
      <c r="H5" s="63"/>
      <c r="I5" s="63"/>
      <c r="J5" s="97"/>
      <c r="K5" s="340"/>
    </row>
    <row r="6" spans="1:12">
      <c r="A6" s="31"/>
      <c r="B6" s="30" t="s">
        <v>49</v>
      </c>
      <c r="C6" s="31" t="s">
        <v>61</v>
      </c>
      <c r="D6" s="63">
        <v>208</v>
      </c>
      <c r="E6" s="63">
        <v>208</v>
      </c>
      <c r="F6" s="63">
        <v>210</v>
      </c>
      <c r="G6" s="63">
        <v>184</v>
      </c>
      <c r="H6" s="63">
        <v>170</v>
      </c>
      <c r="I6" s="63">
        <v>144</v>
      </c>
      <c r="J6" s="97">
        <v>126</v>
      </c>
      <c r="K6" s="340"/>
    </row>
    <row r="7" spans="1:12">
      <c r="A7" s="31"/>
      <c r="B7" s="30" t="s">
        <v>50</v>
      </c>
      <c r="C7" s="31" t="s">
        <v>63</v>
      </c>
      <c r="D7" s="63">
        <f>E7</f>
        <v>5.2</v>
      </c>
      <c r="E7" s="63">
        <v>5.2</v>
      </c>
      <c r="F7" s="63">
        <v>5.2</v>
      </c>
      <c r="G7" s="63">
        <v>5.5</v>
      </c>
      <c r="H7" s="63">
        <v>5.5</v>
      </c>
      <c r="I7" s="63">
        <v>5.5</v>
      </c>
      <c r="J7" s="97">
        <v>5.5</v>
      </c>
      <c r="K7" s="340"/>
    </row>
    <row r="8" spans="1:12" ht="15.75" thickBot="1">
      <c r="A8" s="31"/>
      <c r="B8" s="19" t="s">
        <v>50</v>
      </c>
      <c r="C8" s="42" t="s">
        <v>62</v>
      </c>
      <c r="D8" s="46">
        <v>94100</v>
      </c>
      <c r="E8" s="45">
        <f t="shared" ref="E8:J8" si="1">E3*E7*1000</f>
        <v>110760</v>
      </c>
      <c r="F8" s="45">
        <f t="shared" si="1"/>
        <v>128078.834</v>
      </c>
      <c r="G8" s="45">
        <f t="shared" si="1"/>
        <v>133800</v>
      </c>
      <c r="H8" s="45">
        <f t="shared" si="1"/>
        <v>134300</v>
      </c>
      <c r="I8" s="45">
        <f t="shared" si="1"/>
        <v>137500</v>
      </c>
      <c r="J8" s="47">
        <f t="shared" si="1"/>
        <v>143000</v>
      </c>
      <c r="K8" s="340"/>
    </row>
    <row r="9" spans="1:12">
      <c r="A9" s="31"/>
      <c r="B9" s="31"/>
      <c r="C9" s="31"/>
      <c r="D9" s="31"/>
      <c r="E9" s="31"/>
      <c r="F9" s="31"/>
      <c r="G9" s="31"/>
      <c r="H9" s="31"/>
      <c r="I9" s="31"/>
      <c r="J9" s="73"/>
      <c r="K9" s="340"/>
    </row>
    <row r="10" spans="1:12" ht="15.75" thickBot="1">
      <c r="A10" s="31"/>
      <c r="B10" s="31" t="s">
        <v>51</v>
      </c>
      <c r="C10" s="31"/>
      <c r="D10" s="31"/>
      <c r="E10" s="31"/>
      <c r="F10" s="31"/>
      <c r="G10" s="31"/>
      <c r="H10" s="31"/>
      <c r="I10" s="31"/>
      <c r="J10" s="31"/>
      <c r="K10" s="340"/>
    </row>
    <row r="11" spans="1:12">
      <c r="A11" s="31"/>
      <c r="B11" s="9" t="s">
        <v>22</v>
      </c>
      <c r="C11" s="10" t="s">
        <v>60</v>
      </c>
      <c r="D11" s="98">
        <v>2889983.62259355</v>
      </c>
      <c r="E11" s="98">
        <v>2252070</v>
      </c>
      <c r="F11" s="98">
        <v>10933161</v>
      </c>
      <c r="G11" s="98">
        <f>G18/$G$7*1000</f>
        <v>10545454.545454547</v>
      </c>
      <c r="H11" s="98">
        <f t="shared" ref="H11:H15" si="2">H18/$H$7*1000</f>
        <v>10290909.09090909</v>
      </c>
      <c r="I11" s="98">
        <f>I18/$I$7*1000</f>
        <v>10636363.636363637</v>
      </c>
      <c r="J11" s="99">
        <f>J18/$J$7*1000</f>
        <v>10727272.727272728</v>
      </c>
      <c r="K11" s="340"/>
    </row>
    <row r="12" spans="1:12">
      <c r="A12" s="31"/>
      <c r="B12" s="30" t="s">
        <v>20</v>
      </c>
      <c r="C12" s="31" t="str">
        <f>C11</f>
        <v>m³</v>
      </c>
      <c r="D12" s="100"/>
      <c r="E12" s="100">
        <v>4986008</v>
      </c>
      <c r="F12" s="100">
        <v>5622600</v>
      </c>
      <c r="G12" s="100">
        <f>G19/$G$7*1000</f>
        <v>4418181.8181818184</v>
      </c>
      <c r="H12" s="100">
        <f t="shared" si="2"/>
        <v>4690909.0909090908</v>
      </c>
      <c r="I12" s="100">
        <f>I19/$I$7*1000</f>
        <v>5163636.3636363642</v>
      </c>
      <c r="J12" s="101">
        <f>J19/$J$7*1000</f>
        <v>5636363.6363636358</v>
      </c>
      <c r="K12" s="340"/>
    </row>
    <row r="13" spans="1:12">
      <c r="A13" s="31"/>
      <c r="B13" s="30" t="s">
        <v>19</v>
      </c>
      <c r="C13" s="31" t="str">
        <f t="shared" ref="C13:C15" si="3">C12</f>
        <v>m³</v>
      </c>
      <c r="D13" s="100"/>
      <c r="E13" s="100">
        <v>7512268</v>
      </c>
      <c r="F13" s="100">
        <v>1159801</v>
      </c>
      <c r="G13" s="100">
        <f>G20/$G$7*1000</f>
        <v>1745454.5454545454</v>
      </c>
      <c r="H13" s="100">
        <f t="shared" si="2"/>
        <v>1800000</v>
      </c>
      <c r="I13" s="100">
        <f>I20/$I$7*1000</f>
        <v>1745454.5454545454</v>
      </c>
      <c r="J13" s="101">
        <f>J20/$J$7*1000</f>
        <v>1818181.8181818184</v>
      </c>
      <c r="K13" s="389"/>
      <c r="L13" s="31"/>
    </row>
    <row r="14" spans="1:12">
      <c r="A14" s="31"/>
      <c r="B14" s="30" t="s">
        <v>21</v>
      </c>
      <c r="C14" s="31" t="str">
        <f t="shared" si="3"/>
        <v>m³</v>
      </c>
      <c r="D14" s="100"/>
      <c r="E14" s="100">
        <v>6507532</v>
      </c>
      <c r="F14" s="100">
        <v>6914983</v>
      </c>
      <c r="G14" s="100">
        <f t="shared" ref="G14:G15" si="4">G21/$G$7*1000</f>
        <v>7618181.8181818184</v>
      </c>
      <c r="H14" s="100">
        <f t="shared" si="2"/>
        <v>7636363.6363636358</v>
      </c>
      <c r="I14" s="100">
        <f>I21/$I$7*1000</f>
        <v>7454545.4545454551</v>
      </c>
      <c r="J14" s="101">
        <f>J21/$J$7*1000</f>
        <v>7818181.8181818184</v>
      </c>
      <c r="K14" s="389"/>
      <c r="L14" s="31"/>
    </row>
    <row r="15" spans="1:12" ht="15.75" thickBot="1">
      <c r="A15" s="31"/>
      <c r="B15" s="36" t="s">
        <v>54</v>
      </c>
      <c r="C15" s="37" t="str">
        <f t="shared" si="3"/>
        <v>m³</v>
      </c>
      <c r="D15" s="38">
        <f>SUM(D11:D14)</f>
        <v>2889983.62259355</v>
      </c>
      <c r="E15" s="38">
        <f>SUM(E11:E14)</f>
        <v>21257878</v>
      </c>
      <c r="F15" s="38">
        <f>SUM(F11:F14)</f>
        <v>24630545</v>
      </c>
      <c r="G15" s="38">
        <f t="shared" si="4"/>
        <v>24327272.727272727</v>
      </c>
      <c r="H15" s="38">
        <f t="shared" si="2"/>
        <v>24418181.81818182</v>
      </c>
      <c r="I15" s="38">
        <f>I22/$I$7*1000</f>
        <v>25000000</v>
      </c>
      <c r="J15" s="39">
        <f>J22/$J$7*1000</f>
        <v>26000000</v>
      </c>
      <c r="K15" s="389"/>
      <c r="L15" s="31"/>
    </row>
    <row r="16" spans="1:12">
      <c r="A16" s="31"/>
      <c r="B16" s="31"/>
      <c r="C16" s="31"/>
      <c r="D16" s="32"/>
      <c r="E16" s="32">
        <f t="shared" ref="E16:J16" si="5">E15-E11</f>
        <v>19005808</v>
      </c>
      <c r="F16" s="32">
        <f t="shared" si="5"/>
        <v>13697384</v>
      </c>
      <c r="G16" s="32">
        <f t="shared" si="5"/>
        <v>13781818.18181818</v>
      </c>
      <c r="H16" s="32">
        <f t="shared" si="5"/>
        <v>14127272.72727273</v>
      </c>
      <c r="I16" s="32">
        <f t="shared" si="5"/>
        <v>14363636.363636363</v>
      </c>
      <c r="J16" s="32">
        <f t="shared" si="5"/>
        <v>15272727.272727272</v>
      </c>
      <c r="K16" s="389"/>
      <c r="L16" s="31"/>
    </row>
    <row r="17" spans="1:14" ht="15.75" thickBot="1">
      <c r="A17" s="31"/>
      <c r="B17" s="31"/>
      <c r="C17" s="31"/>
      <c r="D17" s="32"/>
      <c r="E17" s="32"/>
      <c r="F17" s="32"/>
      <c r="G17" s="32"/>
      <c r="H17" s="32"/>
      <c r="I17" s="32"/>
      <c r="J17" s="32"/>
      <c r="K17" s="389"/>
      <c r="L17" s="31"/>
    </row>
    <row r="18" spans="1:14">
      <c r="A18" s="31"/>
      <c r="B18" s="9" t="s">
        <v>22</v>
      </c>
      <c r="C18" s="10" t="s">
        <v>62</v>
      </c>
      <c r="D18" s="28">
        <f t="shared" ref="D18:E21" si="6">D11/$E$15*$E$8</f>
        <v>15057.69230769231</v>
      </c>
      <c r="E18" s="28">
        <f t="shared" si="6"/>
        <v>11733.968611542508</v>
      </c>
      <c r="F18" s="28">
        <f>F11/$F$15*$F$8</f>
        <v>56852.4372</v>
      </c>
      <c r="G18" s="28">
        <v>58000</v>
      </c>
      <c r="H18" s="28">
        <v>56600</v>
      </c>
      <c r="I18" s="28">
        <v>58500</v>
      </c>
      <c r="J18" s="29">
        <v>59000</v>
      </c>
      <c r="K18" s="389"/>
      <c r="L18" s="73">
        <f>3018/0.986</f>
        <v>3060.8519269776875</v>
      </c>
      <c r="N18" s="3"/>
    </row>
    <row r="19" spans="1:14">
      <c r="A19" s="31"/>
      <c r="B19" s="30" t="s">
        <v>20</v>
      </c>
      <c r="C19" s="31" t="str">
        <f>C18</f>
        <v>MWh</v>
      </c>
      <c r="D19" s="32">
        <f t="shared" si="6"/>
        <v>0</v>
      </c>
      <c r="E19" s="32">
        <f t="shared" si="6"/>
        <v>25978.615837385085</v>
      </c>
      <c r="F19" s="32">
        <f>F12/$F$15*$F$8</f>
        <v>29237.52</v>
      </c>
      <c r="G19" s="32">
        <v>24300</v>
      </c>
      <c r="H19" s="32">
        <v>25800</v>
      </c>
      <c r="I19" s="32">
        <v>28400</v>
      </c>
      <c r="J19" s="33">
        <v>31000</v>
      </c>
      <c r="K19" s="389"/>
      <c r="L19" s="395">
        <f>1-0.986</f>
        <v>1.4000000000000012E-2</v>
      </c>
      <c r="N19" s="3"/>
    </row>
    <row r="20" spans="1:14">
      <c r="A20" s="31"/>
      <c r="B20" s="30" t="s">
        <v>19</v>
      </c>
      <c r="C20" s="31" t="str">
        <f t="shared" ref="C20:C22" si="7">C19</f>
        <v>MWh</v>
      </c>
      <c r="D20" s="32">
        <f t="shared" si="6"/>
        <v>0</v>
      </c>
      <c r="E20" s="32">
        <f t="shared" si="6"/>
        <v>39141.197615302903</v>
      </c>
      <c r="F20" s="32">
        <f>F13/$F$15*$F$8</f>
        <v>6030.9652000000006</v>
      </c>
      <c r="G20" s="32">
        <v>9600</v>
      </c>
      <c r="H20" s="32">
        <v>9900</v>
      </c>
      <c r="I20" s="32">
        <v>9600</v>
      </c>
      <c r="J20" s="33">
        <v>10000</v>
      </c>
      <c r="K20" s="389"/>
      <c r="L20" s="73"/>
      <c r="N20" s="3"/>
    </row>
    <row r="21" spans="1:14">
      <c r="A21" s="31"/>
      <c r="B21" s="30" t="s">
        <v>21</v>
      </c>
      <c r="C21" s="31" t="str">
        <f t="shared" si="7"/>
        <v>MWh</v>
      </c>
      <c r="D21" s="32">
        <f t="shared" si="6"/>
        <v>0</v>
      </c>
      <c r="E21" s="32">
        <f t="shared" si="6"/>
        <v>33906.217935769506</v>
      </c>
      <c r="F21" s="32">
        <f>F14/$F$15*$F$8</f>
        <v>35957.911599999999</v>
      </c>
      <c r="G21" s="32">
        <v>41900</v>
      </c>
      <c r="H21" s="32">
        <v>42000</v>
      </c>
      <c r="I21" s="32">
        <v>41000</v>
      </c>
      <c r="J21" s="33">
        <v>43000</v>
      </c>
      <c r="K21" s="389"/>
      <c r="L21" s="73">
        <f>L18*L19</f>
        <v>42.851926977687661</v>
      </c>
      <c r="N21" s="3"/>
    </row>
    <row r="22" spans="1:14" ht="15.75" thickBot="1">
      <c r="A22" s="31"/>
      <c r="B22" s="36" t="s">
        <v>54</v>
      </c>
      <c r="C22" s="37" t="str">
        <f t="shared" si="7"/>
        <v>MWh</v>
      </c>
      <c r="D22" s="38">
        <f t="shared" ref="D22:I22" si="8">SUM(D18:D21)</f>
        <v>15057.69230769231</v>
      </c>
      <c r="E22" s="38">
        <f t="shared" si="8"/>
        <v>110760</v>
      </c>
      <c r="F22" s="38">
        <f t="shared" si="8"/>
        <v>128078.834</v>
      </c>
      <c r="G22" s="38">
        <f t="shared" si="8"/>
        <v>133800</v>
      </c>
      <c r="H22" s="38">
        <f t="shared" si="8"/>
        <v>134300</v>
      </c>
      <c r="I22" s="38">
        <f t="shared" si="8"/>
        <v>137500</v>
      </c>
      <c r="J22" s="39">
        <f t="shared" ref="J22" si="9">SUM(J18:J21)</f>
        <v>143000</v>
      </c>
      <c r="K22" s="389"/>
      <c r="L22" s="73"/>
      <c r="N22" s="3"/>
    </row>
    <row r="23" spans="1:14">
      <c r="A23" s="31"/>
      <c r="B23" s="31"/>
      <c r="C23" s="31"/>
      <c r="D23" s="32">
        <v>79044</v>
      </c>
      <c r="E23" s="32">
        <f t="shared" ref="E23:J23" si="10">E22-E18</f>
        <v>99026.031388457486</v>
      </c>
      <c r="F23" s="32">
        <f t="shared" si="10"/>
        <v>71226.396800000002</v>
      </c>
      <c r="G23" s="32">
        <f t="shared" si="10"/>
        <v>75800</v>
      </c>
      <c r="H23" s="32">
        <f t="shared" si="10"/>
        <v>77700</v>
      </c>
      <c r="I23" s="32">
        <f t="shared" si="10"/>
        <v>79000</v>
      </c>
      <c r="J23" s="32">
        <f t="shared" si="10"/>
        <v>84000</v>
      </c>
      <c r="K23" s="389"/>
      <c r="L23" s="31"/>
    </row>
    <row r="24" spans="1:14" ht="15.75" thickBot="1">
      <c r="A24" s="31"/>
      <c r="B24" s="31"/>
      <c r="C24" s="31"/>
      <c r="D24" s="32"/>
      <c r="E24" s="32"/>
      <c r="F24" s="32"/>
      <c r="G24" s="32"/>
      <c r="H24" s="32"/>
      <c r="I24" s="32"/>
      <c r="J24" s="32"/>
      <c r="K24" s="389"/>
      <c r="L24" s="31"/>
    </row>
    <row r="25" spans="1:14">
      <c r="A25" s="31"/>
      <c r="B25" s="9" t="s">
        <v>22</v>
      </c>
      <c r="C25" s="10" t="s">
        <v>228</v>
      </c>
      <c r="D25" s="28">
        <f t="shared" ref="D25:D28" si="11">D18*$E$6/1000</f>
        <v>3132.0000000000005</v>
      </c>
      <c r="E25" s="28">
        <f t="shared" ref="E25:J25" si="12">E18*E$6/1000</f>
        <v>2440.6654712008421</v>
      </c>
      <c r="F25" s="28">
        <f t="shared" si="12"/>
        <v>11939.011812000001</v>
      </c>
      <c r="G25" s="28">
        <f t="shared" si="12"/>
        <v>10672</v>
      </c>
      <c r="H25" s="28">
        <f t="shared" si="12"/>
        <v>9622</v>
      </c>
      <c r="I25" s="28">
        <f t="shared" si="12"/>
        <v>8424</v>
      </c>
      <c r="J25" s="29">
        <f t="shared" si="12"/>
        <v>7434</v>
      </c>
      <c r="K25" s="389"/>
      <c r="L25" s="31"/>
    </row>
    <row r="26" spans="1:14">
      <c r="A26" s="31"/>
      <c r="B26" s="30" t="s">
        <v>20</v>
      </c>
      <c r="C26" s="31" t="str">
        <f>C25</f>
        <v xml:space="preserve">ton CO₂ </v>
      </c>
      <c r="D26" s="32">
        <f t="shared" si="11"/>
        <v>0</v>
      </c>
      <c r="E26" s="32">
        <f t="shared" ref="E26:E28" si="13">E19*E$6/1000</f>
        <v>5403.5520941760979</v>
      </c>
      <c r="F26" s="32">
        <f t="shared" ref="F26:G28" si="14">F19*F$6/1000</f>
        <v>6139.8792000000003</v>
      </c>
      <c r="G26" s="32">
        <f t="shared" si="14"/>
        <v>4471.2</v>
      </c>
      <c r="H26" s="32">
        <f t="shared" ref="H26:I28" si="15">H19*H$6/1000</f>
        <v>4386</v>
      </c>
      <c r="I26" s="32">
        <f>I19*I$6/1000</f>
        <v>4089.6</v>
      </c>
      <c r="J26" s="33">
        <f>J19*J$6/1000</f>
        <v>3906</v>
      </c>
      <c r="K26" s="389"/>
      <c r="L26" s="31"/>
    </row>
    <row r="27" spans="1:14">
      <c r="A27" s="31"/>
      <c r="B27" s="30" t="s">
        <v>19</v>
      </c>
      <c r="C27" s="31" t="str">
        <f t="shared" ref="C27:C29" si="16">C26</f>
        <v xml:space="preserve">ton CO₂ </v>
      </c>
      <c r="D27" s="32">
        <f t="shared" si="11"/>
        <v>0</v>
      </c>
      <c r="E27" s="32">
        <f t="shared" si="13"/>
        <v>8141.3691039830037</v>
      </c>
      <c r="F27" s="32">
        <f t="shared" si="14"/>
        <v>1266.502692</v>
      </c>
      <c r="G27" s="32">
        <f t="shared" si="14"/>
        <v>1766.4</v>
      </c>
      <c r="H27" s="32">
        <f t="shared" si="15"/>
        <v>1683</v>
      </c>
      <c r="I27" s="32">
        <f t="shared" si="15"/>
        <v>1382.4</v>
      </c>
      <c r="J27" s="33">
        <f>J20*J$6/1000</f>
        <v>1260</v>
      </c>
      <c r="K27" s="389"/>
      <c r="L27" s="73"/>
    </row>
    <row r="28" spans="1:14">
      <c r="A28" s="31"/>
      <c r="B28" s="30" t="s">
        <v>21</v>
      </c>
      <c r="C28" s="31" t="str">
        <f t="shared" si="16"/>
        <v xml:space="preserve">ton CO₂ </v>
      </c>
      <c r="D28" s="32">
        <f t="shared" si="11"/>
        <v>0</v>
      </c>
      <c r="E28" s="32">
        <f t="shared" si="13"/>
        <v>7052.4933306400571</v>
      </c>
      <c r="F28" s="32">
        <f t="shared" si="14"/>
        <v>7551.1614359999994</v>
      </c>
      <c r="G28" s="32">
        <f>G21*G$6/1000</f>
        <v>7709.6</v>
      </c>
      <c r="H28" s="32">
        <f t="shared" si="15"/>
        <v>7140</v>
      </c>
      <c r="I28" s="32">
        <f t="shared" si="15"/>
        <v>5904</v>
      </c>
      <c r="J28" s="33">
        <f>J21*J$6/1000</f>
        <v>5418</v>
      </c>
      <c r="K28" s="389"/>
      <c r="L28" s="31"/>
    </row>
    <row r="29" spans="1:14" ht="15.75" thickBot="1">
      <c r="A29" s="31"/>
      <c r="B29" s="36" t="s">
        <v>54</v>
      </c>
      <c r="C29" s="37" t="str">
        <f t="shared" si="16"/>
        <v xml:space="preserve">ton CO₂ </v>
      </c>
      <c r="D29" s="38">
        <f t="shared" ref="D29:I29" si="17">SUM(D25:D28)</f>
        <v>3132.0000000000005</v>
      </c>
      <c r="E29" s="38">
        <f t="shared" si="17"/>
        <v>23038.080000000002</v>
      </c>
      <c r="F29" s="38">
        <f t="shared" si="17"/>
        <v>26896.55514</v>
      </c>
      <c r="G29" s="38">
        <f t="shared" si="17"/>
        <v>24619.200000000004</v>
      </c>
      <c r="H29" s="38">
        <f t="shared" si="17"/>
        <v>22831</v>
      </c>
      <c r="I29" s="38">
        <f t="shared" si="17"/>
        <v>19800</v>
      </c>
      <c r="J29" s="39">
        <f>SUM(J25:J28)</f>
        <v>18018</v>
      </c>
      <c r="K29" s="389"/>
      <c r="L29" s="31"/>
    </row>
    <row r="30" spans="1:14">
      <c r="A30" s="31"/>
      <c r="B30" s="31"/>
      <c r="C30" s="31"/>
      <c r="K30" s="389"/>
      <c r="L30" s="31"/>
    </row>
    <row r="31" spans="1:14" ht="15.7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40"/>
    </row>
    <row r="32" spans="1:14" ht="15.75" thickBot="1">
      <c r="A32" s="31"/>
      <c r="B32" s="128" t="s">
        <v>84</v>
      </c>
      <c r="C32" s="26" t="str">
        <f>C29</f>
        <v xml:space="preserve">ton CO₂ </v>
      </c>
      <c r="D32" s="24">
        <f t="shared" ref="D32:G32" si="18">D29-D25</f>
        <v>0</v>
      </c>
      <c r="E32" s="24">
        <f t="shared" si="18"/>
        <v>20597.41452879916</v>
      </c>
      <c r="F32" s="24">
        <f t="shared" si="18"/>
        <v>14957.543328</v>
      </c>
      <c r="G32" s="24">
        <f t="shared" si="18"/>
        <v>13947.200000000004</v>
      </c>
      <c r="H32" s="24">
        <f>H29-H25</f>
        <v>13209</v>
      </c>
      <c r="I32" s="24">
        <f>I29-I25</f>
        <v>11376</v>
      </c>
      <c r="J32" s="25">
        <f>J29-J25</f>
        <v>10584</v>
      </c>
      <c r="K32" s="340"/>
    </row>
    <row r="33" spans="2:11" ht="15.75" thickBot="1">
      <c r="D33" t="b">
        <f t="shared" ref="D33:I33" si="19">D32=D34</f>
        <v>0</v>
      </c>
      <c r="E33" t="b">
        <f t="shared" si="19"/>
        <v>1</v>
      </c>
      <c r="F33" t="b">
        <f t="shared" si="19"/>
        <v>1</v>
      </c>
      <c r="G33" t="b">
        <f t="shared" si="19"/>
        <v>1</v>
      </c>
      <c r="H33" t="b">
        <f t="shared" si="19"/>
        <v>1</v>
      </c>
      <c r="I33" t="b">
        <f t="shared" si="19"/>
        <v>1</v>
      </c>
      <c r="J33" t="b">
        <f t="shared" ref="J33" si="20">J32=J34</f>
        <v>1</v>
      </c>
      <c r="K33" s="340"/>
    </row>
    <row r="34" spans="2:11" ht="15.75" thickBot="1">
      <c r="B34" s="128" t="s">
        <v>84</v>
      </c>
      <c r="C34" s="26" t="s">
        <v>228</v>
      </c>
      <c r="D34" s="24">
        <f>D23*$E$6/1000</f>
        <v>16441.151999999998</v>
      </c>
      <c r="E34" s="24">
        <f>E23*$E$6/1000</f>
        <v>20597.414528799156</v>
      </c>
      <c r="F34" s="24">
        <f>F23*F$6/1000</f>
        <v>14957.543328</v>
      </c>
      <c r="G34" s="24">
        <f>G23*G$6/1000</f>
        <v>13947.2</v>
      </c>
      <c r="H34" s="24">
        <f>H23*H$6/1000</f>
        <v>13209</v>
      </c>
      <c r="I34" s="24">
        <f>I23*I$6/1000</f>
        <v>11376</v>
      </c>
      <c r="J34" s="25">
        <f>J23*J$6/1000</f>
        <v>10584</v>
      </c>
      <c r="K34" s="340"/>
    </row>
    <row r="35" spans="2:11">
      <c r="J35" s="18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B2:N102"/>
  <sheetViews>
    <sheetView topLeftCell="A73" workbookViewId="0">
      <selection activeCell="I98" sqref="I98"/>
    </sheetView>
  </sheetViews>
  <sheetFormatPr defaultRowHeight="15"/>
  <cols>
    <col min="2" max="2" width="26.85546875" bestFit="1" customWidth="1"/>
    <col min="3" max="3" width="23.140625" bestFit="1" customWidth="1"/>
    <col min="4" max="4" width="26.42578125" bestFit="1" customWidth="1"/>
    <col min="5" max="5" width="21" bestFit="1" customWidth="1"/>
    <col min="6" max="6" width="17" customWidth="1"/>
    <col min="7" max="7" width="18.42578125" customWidth="1"/>
    <col min="8" max="8" width="17" customWidth="1"/>
    <col min="9" max="9" width="14.28515625" customWidth="1"/>
    <col min="10" max="10" width="11.140625" customWidth="1"/>
    <col min="11" max="11" width="14.7109375" bestFit="1" customWidth="1"/>
  </cols>
  <sheetData>
    <row r="2" spans="2:11">
      <c r="B2" s="27" t="s">
        <v>90</v>
      </c>
      <c r="D2" s="27">
        <v>2012</v>
      </c>
      <c r="E2" s="27">
        <v>2013</v>
      </c>
      <c r="F2">
        <v>2014</v>
      </c>
      <c r="G2" s="27">
        <v>2015</v>
      </c>
      <c r="H2" s="27">
        <v>2016</v>
      </c>
      <c r="I2" s="27">
        <v>2017</v>
      </c>
    </row>
    <row r="3" spans="2:11" ht="15.75" thickBot="1">
      <c r="B3" s="501" t="s">
        <v>91</v>
      </c>
      <c r="C3" s="501"/>
      <c r="D3" s="501"/>
      <c r="E3" s="501"/>
      <c r="F3" s="501"/>
    </row>
    <row r="4" spans="2:11">
      <c r="B4" s="9" t="s">
        <v>92</v>
      </c>
      <c r="C4" s="98"/>
      <c r="D4" s="98">
        <v>45013410</v>
      </c>
      <c r="E4" s="98">
        <v>44404231</v>
      </c>
      <c r="F4" s="98">
        <v>42738367.259230316</v>
      </c>
      <c r="G4" s="98">
        <v>42496999.804649346</v>
      </c>
      <c r="H4" s="98">
        <v>43167504.395389721</v>
      </c>
      <c r="I4" s="99">
        <v>42550952.529790975</v>
      </c>
      <c r="J4" s="340"/>
    </row>
    <row r="5" spans="2:11">
      <c r="B5" s="30" t="s">
        <v>93</v>
      </c>
      <c r="C5" s="100"/>
      <c r="D5" s="100">
        <v>12187639</v>
      </c>
      <c r="E5" s="100">
        <v>12836283</v>
      </c>
      <c r="F5" s="100">
        <v>10889935.760171307</v>
      </c>
      <c r="G5" s="100">
        <v>11290792.291220557</v>
      </c>
      <c r="H5" s="100">
        <v>11825267.665952891</v>
      </c>
      <c r="I5" s="101">
        <v>11691648.822269809</v>
      </c>
      <c r="J5" s="340"/>
    </row>
    <row r="6" spans="2:11">
      <c r="B6" s="30" t="s">
        <v>94</v>
      </c>
      <c r="C6" s="100"/>
      <c r="D6" s="100">
        <v>19924970</v>
      </c>
      <c r="E6" s="100">
        <v>19924970</v>
      </c>
      <c r="F6" s="100">
        <v>22450588.469792664</v>
      </c>
      <c r="G6" s="100">
        <v>20427708.23809107</v>
      </c>
      <c r="H6" s="100">
        <v>22385023.082982231</v>
      </c>
      <c r="I6" s="101">
        <v>21873239.3652285</v>
      </c>
      <c r="J6" s="340"/>
    </row>
    <row r="7" spans="2:11">
      <c r="B7" s="30" t="s">
        <v>95</v>
      </c>
      <c r="C7" s="100"/>
      <c r="D7" s="100">
        <v>1415339</v>
      </c>
      <c r="E7" s="100">
        <v>1415339</v>
      </c>
      <c r="F7" s="100">
        <v>1593081.0362982301</v>
      </c>
      <c r="G7" s="100">
        <v>1451050.2224089457</v>
      </c>
      <c r="H7" s="100">
        <v>1590085.013189229</v>
      </c>
      <c r="I7" s="101">
        <v>1553731.25931649</v>
      </c>
      <c r="J7" s="340"/>
    </row>
    <row r="8" spans="2:11" ht="15.75" thickBot="1">
      <c r="B8" s="36" t="s">
        <v>143</v>
      </c>
      <c r="C8" s="38">
        <f t="shared" ref="C8:G8" si="0">SUM(C4:C7)</f>
        <v>0</v>
      </c>
      <c r="D8" s="38">
        <f t="shared" si="0"/>
        <v>78541358</v>
      </c>
      <c r="E8" s="38">
        <f t="shared" si="0"/>
        <v>78580823</v>
      </c>
      <c r="F8" s="38">
        <f t="shared" si="0"/>
        <v>77671972.525492519</v>
      </c>
      <c r="G8" s="38">
        <f t="shared" si="0"/>
        <v>75666550.556369916</v>
      </c>
      <c r="H8" s="38">
        <f>SUM(H4:H7)</f>
        <v>78967880.157514066</v>
      </c>
      <c r="I8" s="156">
        <f>SUM(I4:I7)</f>
        <v>77669571.976605773</v>
      </c>
      <c r="J8" s="340"/>
    </row>
    <row r="10" spans="2:11" s="40" customFormat="1" ht="15.75" thickBot="1">
      <c r="B10" s="501" t="s">
        <v>104</v>
      </c>
      <c r="C10" s="501"/>
      <c r="D10" s="501"/>
      <c r="E10" s="501"/>
      <c r="F10" s="501"/>
    </row>
    <row r="11" spans="2:11">
      <c r="B11" s="9" t="s">
        <v>92</v>
      </c>
      <c r="C11" s="28">
        <f>C4*Elfosyning!E$4/1000000</f>
        <v>0</v>
      </c>
      <c r="D11" s="28">
        <f>D4*Elfosyning!F$4/1000000</f>
        <v>16143.650683780357</v>
      </c>
      <c r="E11" s="28">
        <f>E4*Elfosyning!G$4/1000000</f>
        <v>19014.02303440158</v>
      </c>
      <c r="F11" s="28">
        <f>F4*Elfosyning!H$4/1000000</f>
        <v>14781.947574089058</v>
      </c>
      <c r="G11" s="28">
        <f>G4*Elfosyning!I$4/1000000</f>
        <v>10436.680027436258</v>
      </c>
      <c r="H11" s="28">
        <f>H4*Elfosyning!J$4/1000000</f>
        <v>13022.088505378375</v>
      </c>
      <c r="I11" s="29">
        <f>I4*Elfosyning!K$4/1000000</f>
        <v>9729.6378661567906</v>
      </c>
      <c r="J11" s="340"/>
    </row>
    <row r="12" spans="2:11">
      <c r="B12" s="30" t="s">
        <v>93</v>
      </c>
      <c r="C12" s="32">
        <f>C5*Elfosyning!E$4/1000000</f>
        <v>0</v>
      </c>
      <c r="D12" s="32">
        <f>D5*Elfosyning!F$4/1000000</f>
        <v>4370.9860389607938</v>
      </c>
      <c r="E12" s="32">
        <f>E5*Elfosyning!G$4/1000000</f>
        <v>5496.5343423715058</v>
      </c>
      <c r="F12" s="32">
        <f>F5*Elfosyning!H$4/1000000</f>
        <v>3766.5093407910626</v>
      </c>
      <c r="G12" s="32">
        <f>G5*Elfosyning!I$4/1000000</f>
        <v>2772.8636595852317</v>
      </c>
      <c r="H12" s="32">
        <f>H5*Elfosyning!J$4/1000000</f>
        <v>3567.2593146773097</v>
      </c>
      <c r="I12" s="33">
        <f>I5*Elfosyning!K$4/1000000</f>
        <v>2673.3951259803339</v>
      </c>
      <c r="J12" s="340"/>
    </row>
    <row r="13" spans="2:11">
      <c r="B13" s="30" t="s">
        <v>94</v>
      </c>
      <c r="C13" s="32">
        <f>C6*Elfosyning!E$4/1000000</f>
        <v>0</v>
      </c>
      <c r="D13" s="32">
        <f>D6*Elfosyning!F$4/1000000</f>
        <v>7145.9095315107907</v>
      </c>
      <c r="E13" s="32">
        <f>E6*Elfosyning!G$4/1000000</f>
        <v>8531.9310797153648</v>
      </c>
      <c r="F13" s="32">
        <f>F6*Elfosyning!H$4/1000000</f>
        <v>7765.0000000000009</v>
      </c>
      <c r="G13" s="32">
        <f>G6*Elfosyning!I$4/1000000</f>
        <v>5016.7648435138599</v>
      </c>
      <c r="H13" s="32">
        <f>H6*Elfosyning!J$4/1000000</f>
        <v>6752.7589529281331</v>
      </c>
      <c r="I13" s="33">
        <f>I6*Elfosyning!K$4/1000000</f>
        <v>5001.5025594183553</v>
      </c>
      <c r="J13" s="340"/>
    </row>
    <row r="14" spans="2:11">
      <c r="B14" s="30" t="s">
        <v>95</v>
      </c>
      <c r="C14" s="32">
        <f>C7*Elfosyning!E$4/1000000</f>
        <v>0</v>
      </c>
      <c r="D14" s="32">
        <f>D7*Elfosyning!F$4/1000000</f>
        <v>507.59847821195973</v>
      </c>
      <c r="E14" s="32">
        <f>E7*Elfosyning!G$4/1000000</f>
        <v>606.05234549579075</v>
      </c>
      <c r="F14" s="32">
        <f>F7*Elfosyning!H$4/1000000</f>
        <v>551</v>
      </c>
      <c r="G14" s="32">
        <f>G7*Elfosyning!I$4/1000000</f>
        <v>356.35802396962509</v>
      </c>
      <c r="H14" s="32">
        <f>H7*Elfosyning!J$4/1000000</f>
        <v>479.67164335395995</v>
      </c>
      <c r="I14" s="33">
        <f>I7*Elfosyning!K$4/1000000</f>
        <v>355.27389155138741</v>
      </c>
      <c r="J14" s="340"/>
    </row>
    <row r="15" spans="2:11">
      <c r="B15" s="34" t="s">
        <v>143</v>
      </c>
      <c r="C15" s="138">
        <f t="shared" ref="C15:H15" si="1">SUM(C11:C14)</f>
        <v>0</v>
      </c>
      <c r="D15" s="138">
        <f t="shared" si="1"/>
        <v>28168.144732463901</v>
      </c>
      <c r="E15" s="138">
        <f t="shared" si="1"/>
        <v>33648.540801984236</v>
      </c>
      <c r="F15" s="138">
        <f t="shared" si="1"/>
        <v>26864.45691488012</v>
      </c>
      <c r="G15" s="138">
        <f t="shared" si="1"/>
        <v>18582.666554504973</v>
      </c>
      <c r="H15" s="138">
        <f t="shared" si="1"/>
        <v>23821.778416337776</v>
      </c>
      <c r="I15" s="35">
        <f t="shared" ref="I15" si="2">SUM(I11:I14)</f>
        <v>17759.809443106868</v>
      </c>
      <c r="J15" s="340"/>
      <c r="K15" s="171"/>
    </row>
    <row r="16" spans="2:11">
      <c r="B16" s="30"/>
      <c r="C16" s="31"/>
      <c r="D16" s="31"/>
      <c r="E16" s="31"/>
      <c r="F16" s="31"/>
      <c r="G16" s="31"/>
      <c r="H16" s="31"/>
      <c r="I16" s="41"/>
      <c r="J16" s="340"/>
    </row>
    <row r="17" spans="2:11">
      <c r="B17" s="30" t="s">
        <v>97</v>
      </c>
      <c r="C17" s="100"/>
      <c r="D17" s="100">
        <v>3348.7871520862359</v>
      </c>
      <c r="E17" s="100">
        <v>3348.7871520862359</v>
      </c>
      <c r="F17" s="100">
        <v>3348.7871520862359</v>
      </c>
      <c r="G17" s="100">
        <v>3348.7871520862359</v>
      </c>
      <c r="H17" s="100">
        <v>3348.7871520862359</v>
      </c>
      <c r="I17" s="101">
        <v>3348.7871520862359</v>
      </c>
      <c r="J17" s="340"/>
    </row>
    <row r="18" spans="2:11" ht="15.75" thickBot="1">
      <c r="B18" s="36" t="s">
        <v>109</v>
      </c>
      <c r="C18" s="38">
        <f t="shared" ref="C18:F18" si="3">C15+C17</f>
        <v>0</v>
      </c>
      <c r="D18" s="38">
        <f t="shared" si="3"/>
        <v>31516.931884550137</v>
      </c>
      <c r="E18" s="38">
        <f>E15+E17</f>
        <v>36997.327954070475</v>
      </c>
      <c r="F18" s="38">
        <f t="shared" si="3"/>
        <v>30213.244066966356</v>
      </c>
      <c r="G18" s="38">
        <f>G15+G17</f>
        <v>21931.453706591208</v>
      </c>
      <c r="H18" s="38">
        <f>H15+H17</f>
        <v>27170.565568424012</v>
      </c>
      <c r="I18" s="39">
        <f>I15+I17</f>
        <v>21108.596595193103</v>
      </c>
      <c r="J18" s="340"/>
    </row>
    <row r="19" spans="2:11">
      <c r="H19" s="188"/>
    </row>
    <row r="21" spans="2:11" ht="30.75" hidden="1" thickBot="1">
      <c r="B21" s="139" t="s">
        <v>98</v>
      </c>
      <c r="C21" s="140" t="s">
        <v>105</v>
      </c>
      <c r="D21" s="140" t="s">
        <v>106</v>
      </c>
      <c r="E21" s="140" t="s">
        <v>108</v>
      </c>
      <c r="F21" s="140" t="s">
        <v>107</v>
      </c>
      <c r="G21" s="141"/>
      <c r="H21" s="140"/>
      <c r="I21" s="142" t="s">
        <v>104</v>
      </c>
    </row>
    <row r="22" spans="2:11" hidden="1">
      <c r="B22" s="9" t="s">
        <v>99</v>
      </c>
      <c r="C22" s="317">
        <v>211</v>
      </c>
      <c r="D22" s="320">
        <f>D30</f>
        <v>3.6</v>
      </c>
      <c r="E22" s="317">
        <f>E30</f>
        <v>329</v>
      </c>
      <c r="F22" s="317">
        <v>1198</v>
      </c>
      <c r="G22" s="317"/>
      <c r="H22" s="317"/>
      <c r="I22" s="318">
        <v>252685</v>
      </c>
      <c r="K22" s="263">
        <f>D22*E22</f>
        <v>1184.4000000000001</v>
      </c>
    </row>
    <row r="23" spans="2:11" hidden="1">
      <c r="B23" s="30" t="s">
        <v>100</v>
      </c>
      <c r="C23" s="317">
        <v>268</v>
      </c>
      <c r="D23" s="320">
        <f t="shared" ref="D23:E26" si="4">D31</f>
        <v>0.86</v>
      </c>
      <c r="E23" s="317">
        <f t="shared" si="4"/>
        <v>285</v>
      </c>
      <c r="F23" s="317">
        <v>259</v>
      </c>
      <c r="G23" s="317"/>
      <c r="H23" s="317"/>
      <c r="I23" s="318">
        <v>69506</v>
      </c>
      <c r="K23" s="263">
        <f>D23*E23</f>
        <v>245.1</v>
      </c>
    </row>
    <row r="24" spans="2:11" hidden="1">
      <c r="B24" s="30" t="s">
        <v>101</v>
      </c>
      <c r="C24" s="317">
        <v>849</v>
      </c>
      <c r="D24" s="320">
        <f t="shared" si="4"/>
        <v>0.11</v>
      </c>
      <c r="E24" s="317">
        <f t="shared" si="4"/>
        <v>259</v>
      </c>
      <c r="F24" s="317">
        <v>28</v>
      </c>
      <c r="G24" s="317"/>
      <c r="H24" s="317"/>
      <c r="I24" s="318">
        <v>24188</v>
      </c>
      <c r="K24" s="263">
        <f>D24*E24</f>
        <v>28.49</v>
      </c>
    </row>
    <row r="25" spans="2:11" hidden="1">
      <c r="B25" s="30" t="s">
        <v>102</v>
      </c>
      <c r="C25" s="317">
        <v>867</v>
      </c>
      <c r="D25" s="320">
        <f t="shared" si="4"/>
        <v>0.09</v>
      </c>
      <c r="E25" s="317">
        <f t="shared" si="4"/>
        <v>310</v>
      </c>
      <c r="F25" s="317">
        <v>31</v>
      </c>
      <c r="G25" s="317"/>
      <c r="H25" s="317"/>
      <c r="I25" s="318">
        <v>26877</v>
      </c>
      <c r="K25" s="263">
        <f>D25*E25</f>
        <v>27.9</v>
      </c>
    </row>
    <row r="26" spans="2:11" hidden="1">
      <c r="B26" s="30" t="s">
        <v>103</v>
      </c>
      <c r="C26" s="317">
        <v>94</v>
      </c>
      <c r="D26" s="320">
        <f t="shared" si="4"/>
        <v>0.04</v>
      </c>
      <c r="E26" s="317">
        <f t="shared" si="4"/>
        <v>365</v>
      </c>
      <c r="F26" s="317">
        <v>15</v>
      </c>
      <c r="G26" s="317"/>
      <c r="H26" s="317"/>
      <c r="I26" s="318">
        <v>1416</v>
      </c>
      <c r="K26" s="263">
        <f>D26*E26</f>
        <v>14.6</v>
      </c>
    </row>
    <row r="27" spans="2:11" ht="15.75" hidden="1" thickBot="1">
      <c r="B27" s="36" t="s">
        <v>96</v>
      </c>
      <c r="C27" s="143"/>
      <c r="D27" s="321"/>
      <c r="E27" s="143"/>
      <c r="F27" s="143"/>
      <c r="G27" s="143"/>
      <c r="H27" s="143"/>
      <c r="I27" s="190">
        <f>SUM(I22:I26)</f>
        <v>374672</v>
      </c>
      <c r="K27" s="263"/>
    </row>
    <row r="28" spans="2:11" ht="15.75" thickBot="1">
      <c r="C28" s="188"/>
      <c r="D28" s="277"/>
      <c r="E28" s="188"/>
      <c r="F28" s="188"/>
      <c r="G28" s="188"/>
      <c r="H28" s="188"/>
      <c r="I28" s="188"/>
      <c r="K28" s="263"/>
    </row>
    <row r="29" spans="2:11" ht="47.25" thickBot="1">
      <c r="B29" s="316">
        <v>2013</v>
      </c>
      <c r="C29" s="322" t="s">
        <v>257</v>
      </c>
      <c r="D29" s="322" t="s">
        <v>261</v>
      </c>
      <c r="E29" s="322" t="s">
        <v>258</v>
      </c>
      <c r="F29" s="323"/>
      <c r="G29" s="323"/>
      <c r="H29" s="322" t="s">
        <v>259</v>
      </c>
      <c r="I29" s="324" t="s">
        <v>260</v>
      </c>
      <c r="K29" s="263"/>
    </row>
    <row r="30" spans="2:11">
      <c r="B30" s="9" t="s">
        <v>99</v>
      </c>
      <c r="C30" s="319">
        <v>203.5</v>
      </c>
      <c r="D30" s="320">
        <v>3.6</v>
      </c>
      <c r="E30" s="317">
        <v>329</v>
      </c>
      <c r="F30" s="317"/>
      <c r="G30" s="317"/>
      <c r="H30" s="317">
        <f>D30*E30</f>
        <v>1184.4000000000001</v>
      </c>
      <c r="I30" s="318">
        <f>H30*C30</f>
        <v>241025.40000000002</v>
      </c>
      <c r="K30" s="263"/>
    </row>
    <row r="31" spans="2:11">
      <c r="B31" s="30" t="s">
        <v>100</v>
      </c>
      <c r="C31" s="319">
        <v>264.89999999999998</v>
      </c>
      <c r="D31" s="320">
        <v>0.86</v>
      </c>
      <c r="E31" s="317">
        <v>285</v>
      </c>
      <c r="F31" s="317"/>
      <c r="G31" s="317"/>
      <c r="H31" s="317">
        <f t="shared" ref="H31:H34" si="5">D31*E31</f>
        <v>245.1</v>
      </c>
      <c r="I31" s="318">
        <f>H31*C31</f>
        <v>64926.989999999991</v>
      </c>
      <c r="K31" s="263"/>
    </row>
    <row r="32" spans="2:11">
      <c r="B32" s="30" t="s">
        <v>101</v>
      </c>
      <c r="C32" s="319">
        <v>850.4</v>
      </c>
      <c r="D32" s="320">
        <v>0.11</v>
      </c>
      <c r="E32" s="317">
        <v>259</v>
      </c>
      <c r="F32" s="317"/>
      <c r="G32" s="317"/>
      <c r="H32" s="317">
        <f t="shared" si="5"/>
        <v>28.49</v>
      </c>
      <c r="I32" s="318">
        <f>H32*C32</f>
        <v>24227.895999999997</v>
      </c>
      <c r="K32" s="263"/>
    </row>
    <row r="33" spans="2:12">
      <c r="B33" s="30" t="s">
        <v>102</v>
      </c>
      <c r="C33" s="319">
        <v>868</v>
      </c>
      <c r="D33" s="320">
        <v>0.09</v>
      </c>
      <c r="E33" s="317">
        <v>310</v>
      </c>
      <c r="F33" s="317"/>
      <c r="G33" s="317"/>
      <c r="H33" s="317">
        <f t="shared" si="5"/>
        <v>27.9</v>
      </c>
      <c r="I33" s="318">
        <f>H33*C33</f>
        <v>24217.199999999997</v>
      </c>
      <c r="K33" s="263"/>
    </row>
    <row r="34" spans="2:12">
      <c r="B34" s="30" t="s">
        <v>103</v>
      </c>
      <c r="C34" s="319">
        <v>97</v>
      </c>
      <c r="D34" s="320">
        <v>0.04</v>
      </c>
      <c r="E34" s="317">
        <v>365</v>
      </c>
      <c r="F34" s="317"/>
      <c r="G34" s="317"/>
      <c r="H34" s="317">
        <f t="shared" si="5"/>
        <v>14.6</v>
      </c>
      <c r="I34" s="318">
        <f>H34*C34</f>
        <v>1416.2</v>
      </c>
      <c r="K34" s="263"/>
    </row>
    <row r="35" spans="2:12" ht="15.75" thickBot="1">
      <c r="B35" s="36" t="s">
        <v>96</v>
      </c>
      <c r="C35" s="143"/>
      <c r="D35" s="321"/>
      <c r="E35" s="143"/>
      <c r="F35" s="143"/>
      <c r="G35" s="143"/>
      <c r="H35" s="195"/>
      <c r="I35" s="190">
        <f>SUM(I30:I34)</f>
        <v>355813.68600000005</v>
      </c>
      <c r="K35" s="263"/>
    </row>
    <row r="36" spans="2:12" ht="15.75" thickBot="1">
      <c r="C36" s="188"/>
      <c r="D36" s="277"/>
      <c r="E36" s="188"/>
      <c r="F36" s="188"/>
      <c r="G36" s="188"/>
      <c r="H36" s="188"/>
      <c r="I36" s="188"/>
    </row>
    <row r="37" spans="2:12" ht="47.25" thickBot="1">
      <c r="B37" s="316">
        <v>2014</v>
      </c>
      <c r="C37" s="322" t="s">
        <v>257</v>
      </c>
      <c r="D37" s="322" t="s">
        <v>262</v>
      </c>
      <c r="E37" s="322" t="s">
        <v>258</v>
      </c>
      <c r="F37" s="323"/>
      <c r="G37" s="323"/>
      <c r="H37" s="322" t="s">
        <v>259</v>
      </c>
      <c r="I37" s="324" t="s">
        <v>260</v>
      </c>
    </row>
    <row r="38" spans="2:12">
      <c r="B38" s="9" t="s">
        <v>99</v>
      </c>
      <c r="C38" s="319">
        <v>199.69357154445271</v>
      </c>
      <c r="D38" s="320">
        <v>3.616403729549917</v>
      </c>
      <c r="E38" s="317">
        <v>329</v>
      </c>
      <c r="F38" s="317"/>
      <c r="G38" s="317"/>
      <c r="H38" s="317">
        <f>D38*E38</f>
        <v>1189.7968270219226</v>
      </c>
      <c r="I38" s="318">
        <f>H38*C38</f>
        <v>237594.77780026512</v>
      </c>
    </row>
    <row r="39" spans="2:12">
      <c r="B39" s="30" t="s">
        <v>100</v>
      </c>
      <c r="C39" s="319">
        <v>263.35384594192351</v>
      </c>
      <c r="D39" s="320">
        <v>0.85086718643483705</v>
      </c>
      <c r="E39" s="317">
        <v>285</v>
      </c>
      <c r="F39" s="317"/>
      <c r="G39" s="317"/>
      <c r="H39" s="317">
        <f t="shared" ref="H39:H41" si="6">D39*E39</f>
        <v>242.49714813392856</v>
      </c>
      <c r="I39" s="318">
        <f>H39*C39</f>
        <v>63862.556591018423</v>
      </c>
    </row>
    <row r="40" spans="2:12">
      <c r="B40" s="30" t="s">
        <v>101</v>
      </c>
      <c r="C40" s="319">
        <v>851.16075828467388</v>
      </c>
      <c r="D40" s="320">
        <v>0.10862577611826692</v>
      </c>
      <c r="E40" s="317">
        <v>259</v>
      </c>
      <c r="F40" s="317"/>
      <c r="G40" s="317"/>
      <c r="H40" s="317">
        <f t="shared" si="6"/>
        <v>28.13407601463113</v>
      </c>
      <c r="I40" s="318">
        <f>H40*C40</f>
        <v>23946.62147425209</v>
      </c>
    </row>
    <row r="41" spans="2:12">
      <c r="B41" s="30" t="s">
        <v>102</v>
      </c>
      <c r="C41" s="319">
        <v>868.56706803894554</v>
      </c>
      <c r="D41" s="320">
        <v>8.4994726201618867E-2</v>
      </c>
      <c r="E41" s="317">
        <v>310</v>
      </c>
      <c r="F41" s="317"/>
      <c r="G41" s="317"/>
      <c r="H41" s="317">
        <f t="shared" si="6"/>
        <v>26.34836512250185</v>
      </c>
      <c r="I41" s="318">
        <f>H41*C41</f>
        <v>22885.322242071044</v>
      </c>
    </row>
    <row r="42" spans="2:12">
      <c r="B42" s="30" t="s">
        <v>103</v>
      </c>
      <c r="C42" s="319">
        <v>97</v>
      </c>
      <c r="D42" s="320">
        <v>3.9108581695360987E-2</v>
      </c>
      <c r="E42" s="317">
        <v>365</v>
      </c>
      <c r="F42" s="317"/>
      <c r="G42" s="317"/>
      <c r="H42" s="317">
        <f>D42*E42</f>
        <v>14.274632318806761</v>
      </c>
      <c r="I42" s="318">
        <f>H42*C42</f>
        <v>1384.6393349242558</v>
      </c>
    </row>
    <row r="43" spans="2:12" ht="15.75" thickBot="1">
      <c r="B43" s="36" t="s">
        <v>96</v>
      </c>
      <c r="C43" s="37"/>
      <c r="D43" s="37"/>
      <c r="E43" s="37"/>
      <c r="F43" s="37"/>
      <c r="G43" s="37"/>
      <c r="H43" s="38"/>
      <c r="I43" s="39">
        <f>SUM(I38:I42)</f>
        <v>349673.91744253092</v>
      </c>
    </row>
    <row r="44" spans="2:12" ht="15.75" thickBot="1"/>
    <row r="45" spans="2:12" ht="47.25" thickBot="1">
      <c r="B45" s="316">
        <v>2015</v>
      </c>
      <c r="C45" s="322" t="s">
        <v>257</v>
      </c>
      <c r="D45" s="322" t="s">
        <v>262</v>
      </c>
      <c r="E45" s="322" t="s">
        <v>258</v>
      </c>
      <c r="F45" s="323"/>
      <c r="G45" s="323"/>
      <c r="H45" s="322" t="s">
        <v>259</v>
      </c>
      <c r="I45" s="324" t="s">
        <v>260</v>
      </c>
      <c r="J45" s="188"/>
    </row>
    <row r="46" spans="2:12">
      <c r="B46" s="9" t="s">
        <v>99</v>
      </c>
      <c r="C46" s="319">
        <v>195.92476205927028</v>
      </c>
      <c r="D46" s="320">
        <v>3.6304172973573485</v>
      </c>
      <c r="E46" s="317">
        <v>329</v>
      </c>
      <c r="F46" s="317"/>
      <c r="G46" s="317"/>
      <c r="H46" s="317">
        <f>D46*E46</f>
        <v>1194.4072908305677</v>
      </c>
      <c r="I46" s="318">
        <f>H46*C46</f>
        <v>234013.9642578366</v>
      </c>
      <c r="J46" s="188"/>
      <c r="L46" s="171"/>
    </row>
    <row r="47" spans="2:12">
      <c r="B47" s="30" t="s">
        <v>100</v>
      </c>
      <c r="C47" s="319">
        <v>261.80512792256468</v>
      </c>
      <c r="D47" s="320">
        <v>0.82418935070105048</v>
      </c>
      <c r="E47" s="317">
        <v>285</v>
      </c>
      <c r="F47" s="317"/>
      <c r="G47" s="317"/>
      <c r="H47" s="317">
        <f t="shared" ref="H47:H49" si="7">D47*E47</f>
        <v>234.8939649497994</v>
      </c>
      <c r="I47" s="318">
        <f>H47*C47</f>
        <v>61496.444541920653</v>
      </c>
      <c r="J47" s="188"/>
    </row>
    <row r="48" spans="2:12">
      <c r="B48" s="30" t="s">
        <v>101</v>
      </c>
      <c r="C48" s="319">
        <v>851.88101104623183</v>
      </c>
      <c r="D48" s="320">
        <v>0.11422313257696741</v>
      </c>
      <c r="E48" s="317">
        <v>259</v>
      </c>
      <c r="F48" s="317"/>
      <c r="G48" s="317"/>
      <c r="H48" s="317">
        <f>D48*E48</f>
        <v>29.583791337434558</v>
      </c>
      <c r="I48" s="318">
        <f>H48*C48</f>
        <v>25201.870075114508</v>
      </c>
      <c r="J48" s="188"/>
    </row>
    <row r="49" spans="2:12">
      <c r="B49" s="30" t="s">
        <v>102</v>
      </c>
      <c r="C49" s="319">
        <v>869.08942405192738</v>
      </c>
      <c r="D49" s="320">
        <v>8.4120537140159157E-2</v>
      </c>
      <c r="E49" s="317">
        <v>310</v>
      </c>
      <c r="F49" s="317"/>
      <c r="G49" s="317"/>
      <c r="H49" s="317">
        <f t="shared" si="7"/>
        <v>26.077366513449338</v>
      </c>
      <c r="I49" s="318">
        <f>H49*C49</f>
        <v>22663.563443964704</v>
      </c>
      <c r="J49" s="188"/>
    </row>
    <row r="50" spans="2:12">
      <c r="B50" s="30" t="s">
        <v>103</v>
      </c>
      <c r="C50" s="319">
        <v>97</v>
      </c>
      <c r="D50" s="320">
        <v>3.7049682224474967E-2</v>
      </c>
      <c r="E50" s="317">
        <v>365</v>
      </c>
      <c r="F50" s="317"/>
      <c r="G50" s="317"/>
      <c r="H50" s="317">
        <f>D50*E50</f>
        <v>13.523134011933363</v>
      </c>
      <c r="I50" s="318">
        <f>H50*C50</f>
        <v>1311.7439991575363</v>
      </c>
      <c r="J50" s="188"/>
    </row>
    <row r="51" spans="2:12" ht="15.75" thickBot="1">
      <c r="B51" s="36" t="s">
        <v>96</v>
      </c>
      <c r="C51" s="37"/>
      <c r="D51" s="37"/>
      <c r="E51" s="37"/>
      <c r="F51" s="37"/>
      <c r="G51" s="37"/>
      <c r="H51" s="38"/>
      <c r="I51" s="39">
        <f>SUM(I46:I50)</f>
        <v>344687.58631799399</v>
      </c>
      <c r="J51" s="188"/>
      <c r="L51" s="355"/>
    </row>
    <row r="52" spans="2:12" ht="15.75" thickBot="1"/>
    <row r="53" spans="2:12" ht="47.25" thickBot="1">
      <c r="B53" s="316">
        <v>2016</v>
      </c>
      <c r="C53" s="322" t="s">
        <v>257</v>
      </c>
      <c r="D53" s="322" t="s">
        <v>262</v>
      </c>
      <c r="E53" s="322" t="s">
        <v>258</v>
      </c>
      <c r="F53" s="323"/>
      <c r="G53" s="323"/>
      <c r="H53" s="322" t="s">
        <v>259</v>
      </c>
      <c r="I53" s="324" t="s">
        <v>260</v>
      </c>
      <c r="J53" s="188"/>
    </row>
    <row r="54" spans="2:12">
      <c r="B54" s="9" t="s">
        <v>99</v>
      </c>
      <c r="C54" s="319">
        <v>192.15595257408785</v>
      </c>
      <c r="D54" s="320">
        <v>3.6619045637347933</v>
      </c>
      <c r="E54" s="317">
        <v>329</v>
      </c>
      <c r="F54" s="317"/>
      <c r="G54" s="317"/>
      <c r="H54" s="317">
        <f>D54*E54</f>
        <v>1204.766601468747</v>
      </c>
      <c r="I54" s="318">
        <f>H54*C54</f>
        <v>231503.07393467354</v>
      </c>
      <c r="J54" s="188"/>
    </row>
    <row r="55" spans="2:12">
      <c r="B55" s="30" t="s">
        <v>100</v>
      </c>
      <c r="C55" s="319">
        <v>260.25640990320585</v>
      </c>
      <c r="D55" s="320">
        <v>0.81745428551953236</v>
      </c>
      <c r="E55" s="317">
        <v>285</v>
      </c>
      <c r="F55" s="317"/>
      <c r="G55" s="317"/>
      <c r="H55" s="317">
        <f t="shared" ref="H55" si="8">D55*E55</f>
        <v>232.97447137306673</v>
      </c>
      <c r="I55" s="318">
        <f>H55*C55</f>
        <v>60633.09951865155</v>
      </c>
      <c r="J55" s="188"/>
    </row>
    <row r="56" spans="2:12">
      <c r="B56" s="30" t="s">
        <v>101</v>
      </c>
      <c r="C56" s="319">
        <v>852.60126380778979</v>
      </c>
      <c r="D56" s="320">
        <v>0.11532902407611369</v>
      </c>
      <c r="E56" s="317">
        <v>259</v>
      </c>
      <c r="F56" s="317"/>
      <c r="G56" s="317"/>
      <c r="H56" s="317">
        <f>D56*E56</f>
        <v>29.870217235713444</v>
      </c>
      <c r="I56" s="318">
        <f>H56*C56</f>
        <v>25467.384965382509</v>
      </c>
      <c r="J56" s="188"/>
    </row>
    <row r="57" spans="2:12">
      <c r="B57" s="30" t="s">
        <v>102</v>
      </c>
      <c r="C57" s="319">
        <v>869.61178006490923</v>
      </c>
      <c r="D57" s="320">
        <v>7.9557214403334992E-2</v>
      </c>
      <c r="E57" s="317">
        <v>310</v>
      </c>
      <c r="F57" s="317"/>
      <c r="G57" s="317"/>
      <c r="H57" s="317">
        <f t="shared" ref="H57" si="9">D57*E57</f>
        <v>24.662736465033849</v>
      </c>
      <c r="I57" s="318">
        <f>H57*C57</f>
        <v>21447.006158629832</v>
      </c>
      <c r="J57" s="188"/>
    </row>
    <row r="58" spans="2:12">
      <c r="B58" s="30" t="s">
        <v>103</v>
      </c>
      <c r="C58" s="319">
        <v>97</v>
      </c>
      <c r="D58" s="320">
        <v>3.5754912266225639E-2</v>
      </c>
      <c r="E58" s="317">
        <v>365</v>
      </c>
      <c r="F58" s="317"/>
      <c r="G58" s="317"/>
      <c r="H58" s="317">
        <f>D58*E58</f>
        <v>13.050542977172357</v>
      </c>
      <c r="I58" s="318">
        <f>H58*C58</f>
        <v>1265.9026687857186</v>
      </c>
      <c r="J58" s="188"/>
    </row>
    <row r="59" spans="2:12" ht="15.75" thickBot="1">
      <c r="B59" s="36" t="s">
        <v>96</v>
      </c>
      <c r="C59" s="37"/>
      <c r="D59" s="37"/>
      <c r="E59" s="37"/>
      <c r="F59" s="37"/>
      <c r="G59" s="37"/>
      <c r="H59" s="38"/>
      <c r="I59" s="39">
        <f>SUM(I54:I58)</f>
        <v>340316.46724612312</v>
      </c>
      <c r="J59" s="188"/>
    </row>
    <row r="60" spans="2:12" ht="15.75" thickBot="1">
      <c r="J60" s="188"/>
    </row>
    <row r="61" spans="2:12" ht="62.25" thickBot="1">
      <c r="B61" s="316">
        <v>2017</v>
      </c>
      <c r="C61" s="322" t="s">
        <v>319</v>
      </c>
      <c r="D61" s="322" t="s">
        <v>262</v>
      </c>
      <c r="E61" s="322" t="s">
        <v>258</v>
      </c>
      <c r="F61" s="323"/>
      <c r="G61" s="323"/>
      <c r="H61" s="322" t="s">
        <v>259</v>
      </c>
      <c r="I61" s="324" t="s">
        <v>260</v>
      </c>
      <c r="J61" s="188"/>
    </row>
    <row r="62" spans="2:12">
      <c r="B62" s="9" t="s">
        <v>99</v>
      </c>
      <c r="C62" s="319">
        <f>K81</f>
        <v>186.74889319192638</v>
      </c>
      <c r="D62" s="430">
        <v>3.6992624588799448</v>
      </c>
      <c r="E62" s="431">
        <v>329</v>
      </c>
      <c r="F62" s="317"/>
      <c r="G62" s="317"/>
      <c r="H62" s="431">
        <f>D62*E62</f>
        <v>1217.0573489715018</v>
      </c>
      <c r="I62" s="318">
        <f>H62*C62</f>
        <v>227284.11287152808</v>
      </c>
    </row>
    <row r="63" spans="2:12">
      <c r="B63" s="30" t="s">
        <v>100</v>
      </c>
      <c r="C63" s="319">
        <f>K82</f>
        <v>259.1036131546299</v>
      </c>
      <c r="D63" s="430">
        <v>0.81327596902399579</v>
      </c>
      <c r="E63" s="431">
        <v>285</v>
      </c>
      <c r="F63" s="317"/>
      <c r="G63" s="317"/>
      <c r="H63" s="431">
        <f t="shared" ref="H63" si="10">D63*E63</f>
        <v>231.78365117183881</v>
      </c>
      <c r="I63" s="318">
        <f>H63*C63</f>
        <v>60055.981488795805</v>
      </c>
    </row>
    <row r="64" spans="2:12">
      <c r="B64" s="30" t="s">
        <v>101</v>
      </c>
      <c r="C64" s="319">
        <f>K83</f>
        <v>1455.6292254975897</v>
      </c>
      <c r="D64" s="430">
        <v>0.10824080241775688</v>
      </c>
      <c r="E64" s="431">
        <v>259</v>
      </c>
      <c r="F64" s="317"/>
      <c r="G64" s="317"/>
      <c r="H64" s="431">
        <f>D64*E64</f>
        <v>28.034367826199034</v>
      </c>
      <c r="I64" s="318">
        <f>H64*C64</f>
        <v>40807.645126164643</v>
      </c>
    </row>
    <row r="65" spans="2:12">
      <c r="B65" s="30" t="s">
        <v>102</v>
      </c>
      <c r="C65" s="319">
        <f>K84</f>
        <v>1301.3836890763541</v>
      </c>
      <c r="D65" s="430">
        <v>8.0174995874443364E-2</v>
      </c>
      <c r="E65" s="431">
        <v>310</v>
      </c>
      <c r="F65" s="317"/>
      <c r="G65" s="317"/>
      <c r="H65" s="431">
        <f t="shared" ref="H65" si="11">D65*E65</f>
        <v>24.854248721077443</v>
      </c>
      <c r="I65" s="318">
        <f>H65*C65</f>
        <v>32344.91388985702</v>
      </c>
    </row>
    <row r="66" spans="2:12">
      <c r="B66" s="30" t="s">
        <v>103</v>
      </c>
      <c r="C66" s="319">
        <f>C58</f>
        <v>97</v>
      </c>
      <c r="D66" s="430">
        <v>2.9045773803859597E-2</v>
      </c>
      <c r="E66" s="431">
        <v>365</v>
      </c>
      <c r="F66" s="317"/>
      <c r="G66" s="317"/>
      <c r="H66" s="431">
        <f>D66*E66</f>
        <v>10.601707438408752</v>
      </c>
      <c r="I66" s="318">
        <f>H66*C66</f>
        <v>1028.365621525649</v>
      </c>
    </row>
    <row r="67" spans="2:12" ht="15.75" thickBot="1">
      <c r="B67" s="36" t="s">
        <v>96</v>
      </c>
      <c r="C67" s="37"/>
      <c r="D67" s="37"/>
      <c r="E67" s="37"/>
      <c r="F67" s="37"/>
      <c r="G67" s="37"/>
      <c r="H67" s="38"/>
      <c r="I67" s="39">
        <f>SUM(I62:I66)</f>
        <v>361521.0189978712</v>
      </c>
    </row>
    <row r="68" spans="2:12">
      <c r="L68" s="188"/>
    </row>
    <row r="69" spans="2:12">
      <c r="L69" s="188"/>
    </row>
    <row r="70" spans="2:12" ht="15.75" thickBot="1">
      <c r="C70" s="158">
        <v>2011</v>
      </c>
      <c r="D70" s="158">
        <v>2012</v>
      </c>
      <c r="E70" s="158">
        <v>2013</v>
      </c>
      <c r="F70" s="158">
        <v>2014</v>
      </c>
      <c r="G70" s="158">
        <v>2015</v>
      </c>
      <c r="H70" s="158">
        <v>2016</v>
      </c>
      <c r="I70" s="158">
        <v>2017</v>
      </c>
    </row>
    <row r="71" spans="2:12">
      <c r="B71" s="9" t="s">
        <v>118</v>
      </c>
      <c r="C71" s="445">
        <f>E92</f>
        <v>378636.1751589271</v>
      </c>
      <c r="D71" s="445">
        <f>F92</f>
        <v>370096.41987622355</v>
      </c>
      <c r="E71" s="445">
        <f t="shared" ref="E71:I71" si="12">G92</f>
        <v>365585.49732378416</v>
      </c>
      <c r="F71" s="445">
        <f t="shared" si="12"/>
        <v>364924.82038695365</v>
      </c>
      <c r="G71" s="445">
        <f t="shared" si="12"/>
        <v>364495.63077875052</v>
      </c>
      <c r="H71" s="445">
        <f t="shared" si="12"/>
        <v>363455.77370376349</v>
      </c>
      <c r="I71" s="423">
        <f t="shared" si="12"/>
        <v>361521.0189978712</v>
      </c>
      <c r="J71" s="340"/>
    </row>
    <row r="72" spans="2:12">
      <c r="B72" s="30" t="s">
        <v>119</v>
      </c>
      <c r="C72" s="233">
        <f>36438+250</f>
        <v>36688</v>
      </c>
      <c r="D72" s="73">
        <f t="shared" ref="D72:I72" si="13">D$18</f>
        <v>31516.931884550137</v>
      </c>
      <c r="E72" s="73">
        <f t="shared" si="13"/>
        <v>36997.327954070475</v>
      </c>
      <c r="F72" s="73">
        <f t="shared" si="13"/>
        <v>30213.244066966356</v>
      </c>
      <c r="G72" s="73">
        <f t="shared" si="13"/>
        <v>21931.453706591208</v>
      </c>
      <c r="H72" s="73">
        <f t="shared" si="13"/>
        <v>27170.565568424012</v>
      </c>
      <c r="I72" s="232">
        <f t="shared" si="13"/>
        <v>21108.596595193103</v>
      </c>
      <c r="J72" s="340"/>
    </row>
    <row r="73" spans="2:12">
      <c r="B73" s="30" t="s">
        <v>120</v>
      </c>
      <c r="C73" s="157">
        <v>15353</v>
      </c>
      <c r="D73" s="157">
        <v>14579</v>
      </c>
      <c r="E73" s="157">
        <v>13500</v>
      </c>
      <c r="F73" s="446">
        <f>'TIER 1'!Q12</f>
        <v>14400</v>
      </c>
      <c r="G73" s="339">
        <f>'TIER 1'!F36</f>
        <v>14200</v>
      </c>
      <c r="H73" s="339">
        <f>'TIER 1'!F53</f>
        <v>13400</v>
      </c>
      <c r="I73" s="242">
        <f>'TIER 1'!F72</f>
        <v>14100</v>
      </c>
      <c r="J73" s="340"/>
    </row>
    <row r="74" spans="2:12">
      <c r="B74" s="30" t="s">
        <v>121</v>
      </c>
      <c r="C74" s="157">
        <v>58360</v>
      </c>
      <c r="D74" s="157">
        <v>35148</v>
      </c>
      <c r="E74" s="157">
        <v>29300</v>
      </c>
      <c r="F74" s="446">
        <f>'TIER 1'!Q13</f>
        <v>40300</v>
      </c>
      <c r="G74" s="339">
        <f>'TIER 1'!F37</f>
        <v>37800</v>
      </c>
      <c r="H74" s="339">
        <f>'TIER 1'!F54</f>
        <v>39200</v>
      </c>
      <c r="I74" s="242">
        <f>'TIER 1'!F73</f>
        <v>68600</v>
      </c>
      <c r="J74" s="340"/>
    </row>
    <row r="75" spans="2:12" ht="15.75" thickBot="1">
      <c r="B75" s="133" t="s">
        <v>54</v>
      </c>
      <c r="C75" s="95">
        <f>SUM(C71:C74)</f>
        <v>489037.1751589271</v>
      </c>
      <c r="D75" s="95">
        <f t="shared" ref="D75:F75" si="14">SUM(D71:D74)</f>
        <v>451340.35176077369</v>
      </c>
      <c r="E75" s="95">
        <f t="shared" si="14"/>
        <v>445382.82527785463</v>
      </c>
      <c r="F75" s="95">
        <f t="shared" si="14"/>
        <v>449838.06445392</v>
      </c>
      <c r="G75" s="95">
        <f>SUM(G71:G74)</f>
        <v>438427.08448534174</v>
      </c>
      <c r="H75" s="95">
        <f>SUM(H71:H74)</f>
        <v>443226.3392721875</v>
      </c>
      <c r="I75" s="156">
        <f>SUM(I71:I74)</f>
        <v>465329.61559306429</v>
      </c>
      <c r="J75" s="340"/>
    </row>
    <row r="76" spans="2:12">
      <c r="I76" s="188"/>
    </row>
    <row r="77" spans="2:12">
      <c r="I77" s="188"/>
    </row>
    <row r="78" spans="2:12" ht="15.75" thickBot="1"/>
    <row r="79" spans="2:12">
      <c r="B79" s="398" t="s">
        <v>307</v>
      </c>
      <c r="C79" s="399"/>
      <c r="D79" s="399"/>
      <c r="E79" s="399"/>
      <c r="F79" s="399"/>
      <c r="G79" s="399"/>
      <c r="H79" s="399"/>
      <c r="I79" s="399"/>
      <c r="J79" s="399"/>
      <c r="K79" s="400"/>
      <c r="L79" s="340"/>
    </row>
    <row r="80" spans="2:12">
      <c r="B80" s="401" t="s">
        <v>308</v>
      </c>
      <c r="C80" s="402">
        <v>2009</v>
      </c>
      <c r="D80" s="402">
        <v>2010</v>
      </c>
      <c r="E80" s="402">
        <v>2011</v>
      </c>
      <c r="F80" s="402">
        <v>2012</v>
      </c>
      <c r="G80" s="402">
        <v>2013</v>
      </c>
      <c r="H80" s="402">
        <v>2014</v>
      </c>
      <c r="I80" s="402">
        <v>2015</v>
      </c>
      <c r="J80" s="402">
        <v>2016</v>
      </c>
      <c r="K80" s="403">
        <v>2017</v>
      </c>
      <c r="L80" s="340"/>
    </row>
    <row r="81" spans="2:14">
      <c r="B81" s="404" t="s">
        <v>99</v>
      </c>
      <c r="C81" s="32">
        <v>193.79376646538495</v>
      </c>
      <c r="D81" s="32">
        <v>192.93856633038229</v>
      </c>
      <c r="E81" s="32">
        <v>192.08336619537965</v>
      </c>
      <c r="F81" s="32">
        <v>191.22816606037699</v>
      </c>
      <c r="G81" s="32">
        <v>190.37296592537436</v>
      </c>
      <c r="H81" s="32">
        <v>189.5177657903717</v>
      </c>
      <c r="I81" s="32">
        <v>188.66256565536906</v>
      </c>
      <c r="J81" s="495">
        <v>187.8073655203664</v>
      </c>
      <c r="K81" s="494">
        <v>186.74889319192638</v>
      </c>
      <c r="L81" s="340"/>
    </row>
    <row r="82" spans="2:14">
      <c r="B82" s="148" t="s">
        <v>100</v>
      </c>
      <c r="C82" s="32">
        <v>258.94779922805213</v>
      </c>
      <c r="D82" s="32">
        <v>258.96126407793361</v>
      </c>
      <c r="E82" s="32">
        <v>258.97472892781508</v>
      </c>
      <c r="F82" s="32">
        <v>258.98819377769655</v>
      </c>
      <c r="G82" s="32">
        <v>259.00165862757802</v>
      </c>
      <c r="H82" s="32">
        <v>259.0151234774595</v>
      </c>
      <c r="I82" s="32">
        <v>259.02858832734097</v>
      </c>
      <c r="J82" s="495">
        <v>259.04205317722244</v>
      </c>
      <c r="K82" s="494">
        <v>259.1036131546299</v>
      </c>
      <c r="L82" s="340"/>
    </row>
    <row r="83" spans="2:14">
      <c r="B83" s="148" t="s">
        <v>101</v>
      </c>
      <c r="C83" s="32">
        <v>1455.6292254975897</v>
      </c>
      <c r="D83" s="32">
        <v>1455.6292254975897</v>
      </c>
      <c r="E83" s="32">
        <v>1455.6292254975897</v>
      </c>
      <c r="F83" s="32">
        <v>1455.6292254975897</v>
      </c>
      <c r="G83" s="32">
        <v>1455.6292254975897</v>
      </c>
      <c r="H83" s="32">
        <v>1455.6292254975897</v>
      </c>
      <c r="I83" s="32">
        <v>1455.6292254975897</v>
      </c>
      <c r="J83" s="495">
        <v>1455.6292254975897</v>
      </c>
      <c r="K83" s="494">
        <v>1455.6292254975897</v>
      </c>
      <c r="L83" s="340"/>
    </row>
    <row r="84" spans="2:14">
      <c r="B84" s="148" t="s">
        <v>102</v>
      </c>
      <c r="C84" s="32">
        <v>1301.3836890763541</v>
      </c>
      <c r="D84" s="32">
        <v>1301.3836890763541</v>
      </c>
      <c r="E84" s="32">
        <v>1301.3836890763541</v>
      </c>
      <c r="F84" s="32">
        <v>1301.3836890763541</v>
      </c>
      <c r="G84" s="32">
        <v>1301.3836890763541</v>
      </c>
      <c r="H84" s="32">
        <v>1301.3836890763541</v>
      </c>
      <c r="I84" s="32">
        <v>1301.3836890763541</v>
      </c>
      <c r="J84" s="495">
        <v>1301.3836890763541</v>
      </c>
      <c r="K84" s="494">
        <v>1301.3836890763541</v>
      </c>
      <c r="L84" s="340"/>
    </row>
    <row r="85" spans="2:14">
      <c r="B85" s="30"/>
      <c r="C85" s="31"/>
      <c r="D85" s="31"/>
      <c r="E85" s="31"/>
      <c r="F85" s="31"/>
      <c r="G85" s="31"/>
      <c r="H85" s="31"/>
      <c r="I85" s="31"/>
      <c r="J85" s="31"/>
      <c r="K85" s="41"/>
      <c r="L85" s="340"/>
    </row>
    <row r="86" spans="2:14">
      <c r="B86" s="405" t="s">
        <v>309</v>
      </c>
      <c r="C86" s="31"/>
      <c r="D86" s="31"/>
      <c r="E86" s="31"/>
      <c r="F86" s="31"/>
      <c r="G86" s="31"/>
      <c r="H86" s="31"/>
      <c r="I86" s="31"/>
      <c r="J86" s="31"/>
      <c r="K86" s="41"/>
      <c r="L86" s="340"/>
    </row>
    <row r="87" spans="2:14">
      <c r="B87" s="404" t="s">
        <v>99</v>
      </c>
      <c r="C87" s="73">
        <v>240380.33640835265</v>
      </c>
      <c r="D87" s="73">
        <v>232528.17098369915</v>
      </c>
      <c r="E87" s="73">
        <v>229753.92809430923</v>
      </c>
      <c r="F87" s="73">
        <v>226279.24861802073</v>
      </c>
      <c r="G87" s="73">
        <v>225372.57299309291</v>
      </c>
      <c r="H87" s="73">
        <v>225487.6364016681</v>
      </c>
      <c r="I87" s="73">
        <v>225339.94392557346</v>
      </c>
      <c r="J87" s="73">
        <v>226264.04148877057</v>
      </c>
      <c r="K87" s="232">
        <f>H62*K81</f>
        <v>227284.11287152808</v>
      </c>
      <c r="L87" s="340"/>
      <c r="N87" s="171"/>
    </row>
    <row r="88" spans="2:14">
      <c r="B88" s="148" t="s">
        <v>100</v>
      </c>
      <c r="C88" s="73">
        <v>62071.807267798067</v>
      </c>
      <c r="D88" s="73">
        <v>65099.521188885912</v>
      </c>
      <c r="E88" s="73">
        <v>67172.476727203291</v>
      </c>
      <c r="F88" s="73">
        <v>65497.492634714385</v>
      </c>
      <c r="G88" s="73">
        <v>63338.366312593127</v>
      </c>
      <c r="H88" s="73">
        <v>62810.428766841294</v>
      </c>
      <c r="I88" s="73">
        <v>60844.252147558444</v>
      </c>
      <c r="J88" s="73">
        <v>60350.185402357238</v>
      </c>
      <c r="K88" s="232">
        <f t="shared" ref="K88:K90" si="15">H63*K82</f>
        <v>60055.981488795805</v>
      </c>
      <c r="L88" s="340"/>
      <c r="N88" s="171"/>
    </row>
    <row r="89" spans="2:14">
      <c r="B89" s="148" t="s">
        <v>101</v>
      </c>
      <c r="C89" s="73">
        <v>47932.793230008749</v>
      </c>
      <c r="D89" s="73">
        <v>43612.281900640344</v>
      </c>
      <c r="E89" s="73">
        <v>41534.967989224991</v>
      </c>
      <c r="F89" s="73">
        <v>42707.462774071035</v>
      </c>
      <c r="G89" s="73">
        <v>40006.660929286714</v>
      </c>
      <c r="H89" s="73">
        <v>40952.783279267824</v>
      </c>
      <c r="I89" s="73">
        <v>43063.03127179217</v>
      </c>
      <c r="J89" s="73">
        <v>43479.961180266313</v>
      </c>
      <c r="K89" s="232">
        <f t="shared" si="15"/>
        <v>40807.645126164643</v>
      </c>
      <c r="L89" s="340"/>
      <c r="N89" s="171"/>
    </row>
    <row r="90" spans="2:14">
      <c r="B90" s="148" t="s">
        <v>102</v>
      </c>
      <c r="C90" s="73">
        <v>41428.118219687749</v>
      </c>
      <c r="D90" s="73">
        <v>44724.132689011429</v>
      </c>
      <c r="E90" s="73">
        <v>38648.492798189567</v>
      </c>
      <c r="F90" s="73">
        <v>34275.323049417384</v>
      </c>
      <c r="G90" s="73">
        <v>35466.312785391514</v>
      </c>
      <c r="H90" s="73">
        <v>34289.332604252202</v>
      </c>
      <c r="I90" s="73">
        <v>33936.65943466888</v>
      </c>
      <c r="J90" s="73">
        <v>32095.682963583669</v>
      </c>
      <c r="K90" s="232">
        <f t="shared" si="15"/>
        <v>32344.91388985702</v>
      </c>
      <c r="L90" s="340"/>
      <c r="N90" s="171"/>
    </row>
    <row r="91" spans="2:14">
      <c r="B91" s="406" t="s">
        <v>103</v>
      </c>
      <c r="C91" s="73">
        <v>1713.4560000000001</v>
      </c>
      <c r="D91" s="73">
        <v>1706.5210000000004</v>
      </c>
      <c r="E91" s="73">
        <v>1526.3095499999999</v>
      </c>
      <c r="F91" s="73">
        <v>1336.8928000000001</v>
      </c>
      <c r="G91" s="73">
        <v>1401.5843034198756</v>
      </c>
      <c r="H91" s="73">
        <v>1384.6393349242558</v>
      </c>
      <c r="I91" s="73">
        <v>1311.7439991575363</v>
      </c>
      <c r="J91" s="73">
        <v>1265.9026687857186</v>
      </c>
      <c r="K91" s="232">
        <f>C66*H66</f>
        <v>1028.365621525649</v>
      </c>
      <c r="L91" s="340"/>
      <c r="N91" s="171"/>
    </row>
    <row r="92" spans="2:14" ht="15.75" thickBot="1">
      <c r="B92" s="19"/>
      <c r="C92" s="407">
        <v>393526.51112584723</v>
      </c>
      <c r="D92" s="407">
        <v>387670.62776223681</v>
      </c>
      <c r="E92" s="407">
        <v>378636.1751589271</v>
      </c>
      <c r="F92" s="407">
        <v>370096.41987622355</v>
      </c>
      <c r="G92" s="407">
        <v>365585.49732378416</v>
      </c>
      <c r="H92" s="407">
        <v>364924.82038695365</v>
      </c>
      <c r="I92" s="407">
        <v>364495.63077875052</v>
      </c>
      <c r="J92" s="407">
        <v>363455.77370376349</v>
      </c>
      <c r="K92" s="408">
        <f>SUM(K87:K91)</f>
        <v>361521.0189978712</v>
      </c>
      <c r="L92" s="340"/>
      <c r="N92" s="171"/>
    </row>
    <row r="93" spans="2:14">
      <c r="L93" s="340"/>
    </row>
    <row r="97" spans="2:9" ht="15.75" thickBot="1">
      <c r="C97" s="158">
        <v>2011</v>
      </c>
      <c r="D97" s="158">
        <v>2012</v>
      </c>
      <c r="E97" s="158">
        <v>2013</v>
      </c>
      <c r="F97" s="158">
        <v>2014</v>
      </c>
      <c r="G97" s="158">
        <v>2015</v>
      </c>
      <c r="H97" s="158">
        <v>2016</v>
      </c>
      <c r="I97" s="158">
        <v>2017</v>
      </c>
    </row>
    <row r="98" spans="2:9">
      <c r="B98" s="9" t="s">
        <v>118</v>
      </c>
      <c r="C98" s="144">
        <f t="shared" ref="C98:I98" si="16">E84</f>
        <v>1301.3836890763541</v>
      </c>
      <c r="D98" s="144">
        <f t="shared" si="16"/>
        <v>1301.3836890763541</v>
      </c>
      <c r="E98" s="144">
        <f t="shared" si="16"/>
        <v>1301.3836890763541</v>
      </c>
      <c r="F98" s="144">
        <f t="shared" si="16"/>
        <v>1301.3836890763541</v>
      </c>
      <c r="G98" s="144">
        <f t="shared" si="16"/>
        <v>1301.3836890763541</v>
      </c>
      <c r="H98" s="144">
        <f t="shared" si="16"/>
        <v>1301.3836890763541</v>
      </c>
      <c r="I98" s="231">
        <f t="shared" si="16"/>
        <v>1301.3836890763541</v>
      </c>
    </row>
    <row r="99" spans="2:9">
      <c r="B99" s="30" t="s">
        <v>119</v>
      </c>
      <c r="C99" s="233">
        <f>36438+250</f>
        <v>36688</v>
      </c>
      <c r="D99" s="73">
        <f t="shared" ref="D99:I99" si="17">D$18</f>
        <v>31516.931884550137</v>
      </c>
      <c r="E99" s="73">
        <f t="shared" si="17"/>
        <v>36997.327954070475</v>
      </c>
      <c r="F99" s="73">
        <f t="shared" si="17"/>
        <v>30213.244066966356</v>
      </c>
      <c r="G99" s="73">
        <f t="shared" si="17"/>
        <v>21931.453706591208</v>
      </c>
      <c r="H99" s="73">
        <f t="shared" si="17"/>
        <v>27170.565568424012</v>
      </c>
      <c r="I99" s="232">
        <f t="shared" si="17"/>
        <v>21108.596595193103</v>
      </c>
    </row>
    <row r="100" spans="2:9">
      <c r="B100" s="30" t="s">
        <v>120</v>
      </c>
      <c r="C100" s="157">
        <v>15353</v>
      </c>
      <c r="D100" s="157">
        <v>14579</v>
      </c>
      <c r="E100" s="157">
        <v>13500</v>
      </c>
      <c r="F100" s="339">
        <f>'TIER 1'!Q12</f>
        <v>14400</v>
      </c>
      <c r="G100" s="339">
        <f>'TIER 1'!F36</f>
        <v>14200</v>
      </c>
      <c r="H100" s="339">
        <f>'TIER 1'!F53</f>
        <v>13400</v>
      </c>
      <c r="I100" s="242">
        <f>'TIER 1'!F72</f>
        <v>14100</v>
      </c>
    </row>
    <row r="101" spans="2:9">
      <c r="B101" s="30" t="s">
        <v>121</v>
      </c>
      <c r="C101" s="157">
        <v>58360</v>
      </c>
      <c r="D101" s="157">
        <v>35148</v>
      </c>
      <c r="E101" s="157">
        <v>29300</v>
      </c>
      <c r="F101" s="339">
        <f>'TIER 1'!Q13</f>
        <v>40300</v>
      </c>
      <c r="G101" s="339">
        <f>'TIER 1'!F37</f>
        <v>37800</v>
      </c>
      <c r="H101" s="339">
        <f>'TIER 1'!F54</f>
        <v>39200</v>
      </c>
      <c r="I101" s="242">
        <f>'TIER 1'!F73</f>
        <v>68600</v>
      </c>
    </row>
    <row r="102" spans="2:9" ht="15.75" thickBot="1">
      <c r="B102" s="133" t="s">
        <v>54</v>
      </c>
      <c r="C102" s="95">
        <f>SUM(C98:C101)</f>
        <v>111702.38368907635</v>
      </c>
      <c r="D102" s="95">
        <f t="shared" ref="D102:E102" si="18">SUM(D98:D101)</f>
        <v>82545.315573626489</v>
      </c>
      <c r="E102" s="95">
        <f t="shared" si="18"/>
        <v>81098.711643146831</v>
      </c>
      <c r="F102" s="95">
        <f t="shared" ref="F102" si="19">SUM(F98:F101)</f>
        <v>86214.627756042712</v>
      </c>
      <c r="G102" s="95">
        <f>SUM(G98:G101)</f>
        <v>75232.837395667564</v>
      </c>
      <c r="H102" s="95">
        <f>SUM(H98:H101)</f>
        <v>81071.949257500368</v>
      </c>
      <c r="I102" s="156">
        <f>SUM(I98:I101)</f>
        <v>105109.98028426946</v>
      </c>
    </row>
  </sheetData>
  <mergeCells count="2">
    <mergeCell ref="B10:F10"/>
    <mergeCell ref="B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X272"/>
  <sheetViews>
    <sheetView workbookViewId="0">
      <selection activeCell="C35" sqref="C35"/>
    </sheetView>
  </sheetViews>
  <sheetFormatPr defaultRowHeight="15"/>
  <cols>
    <col min="3" max="3" width="11.7109375" bestFit="1" customWidth="1"/>
  </cols>
  <sheetData>
    <row r="1" spans="1:6">
      <c r="A1" t="s">
        <v>278</v>
      </c>
    </row>
    <row r="3" spans="1:6">
      <c r="A3" t="s">
        <v>279</v>
      </c>
      <c r="C3" s="356">
        <v>971773</v>
      </c>
      <c r="D3" t="s">
        <v>280</v>
      </c>
    </row>
    <row r="4" spans="1:6">
      <c r="C4" s="356"/>
    </row>
    <row r="5" spans="1:6">
      <c r="A5" t="s">
        <v>281</v>
      </c>
      <c r="C5" s="356">
        <v>25616</v>
      </c>
      <c r="D5" t="s">
        <v>282</v>
      </c>
      <c r="E5" t="s">
        <v>283</v>
      </c>
      <c r="F5" t="s">
        <v>284</v>
      </c>
    </row>
    <row r="6" spans="1:6">
      <c r="A6" t="s">
        <v>285</v>
      </c>
      <c r="C6" s="356">
        <v>475</v>
      </c>
      <c r="D6" t="s">
        <v>282</v>
      </c>
      <c r="E6" t="s">
        <v>283</v>
      </c>
      <c r="F6" t="s">
        <v>284</v>
      </c>
    </row>
    <row r="7" spans="1:6">
      <c r="C7" s="356">
        <f>C5+C6</f>
        <v>26091</v>
      </c>
      <c r="D7" t="s">
        <v>282</v>
      </c>
      <c r="E7" t="s">
        <v>283</v>
      </c>
      <c r="F7" t="s">
        <v>284</v>
      </c>
    </row>
    <row r="8" spans="1:6">
      <c r="C8" s="356">
        <f>C7*10</f>
        <v>260910</v>
      </c>
    </row>
    <row r="9" spans="1:6">
      <c r="C9" s="356"/>
    </row>
    <row r="10" spans="1:6">
      <c r="A10" t="s">
        <v>286</v>
      </c>
      <c r="C10" s="356">
        <f>C3+C8</f>
        <v>1232683</v>
      </c>
      <c r="D10" t="s">
        <v>287</v>
      </c>
    </row>
    <row r="12" spans="1:6">
      <c r="A12" t="s">
        <v>288</v>
      </c>
    </row>
    <row r="14" spans="1:6">
      <c r="A14" s="27" t="s">
        <v>289</v>
      </c>
      <c r="B14" s="27"/>
      <c r="C14" s="371">
        <f>C10/10000*18*(-1)</f>
        <v>-2218.8294000000001</v>
      </c>
      <c r="D14" s="236" t="s">
        <v>290</v>
      </c>
    </row>
    <row r="15" spans="1:6">
      <c r="A15" s="353"/>
    </row>
    <row r="16" spans="1:6">
      <c r="A16" s="353"/>
    </row>
    <row r="17" spans="1:6">
      <c r="A17" s="353"/>
    </row>
    <row r="18" spans="1:6">
      <c r="A18" s="353"/>
    </row>
    <row r="19" spans="1:6">
      <c r="A19" t="s">
        <v>305</v>
      </c>
    </row>
    <row r="21" spans="1:6">
      <c r="A21" t="s">
        <v>279</v>
      </c>
      <c r="C21" s="356">
        <v>1054188</v>
      </c>
      <c r="D21" t="s">
        <v>280</v>
      </c>
    </row>
    <row r="22" spans="1:6">
      <c r="C22" s="356"/>
    </row>
    <row r="23" spans="1:6">
      <c r="A23" t="s">
        <v>281</v>
      </c>
      <c r="C23" s="356">
        <v>22718</v>
      </c>
      <c r="D23" t="s">
        <v>282</v>
      </c>
      <c r="E23" t="s">
        <v>283</v>
      </c>
      <c r="F23" t="s">
        <v>284</v>
      </c>
    </row>
    <row r="24" spans="1:6">
      <c r="A24" t="s">
        <v>285</v>
      </c>
      <c r="C24" s="356">
        <v>482</v>
      </c>
      <c r="D24" t="s">
        <v>282</v>
      </c>
      <c r="E24" t="s">
        <v>283</v>
      </c>
      <c r="F24" t="s">
        <v>284</v>
      </c>
    </row>
    <row r="25" spans="1:6">
      <c r="C25" s="356">
        <f>C23+C24</f>
        <v>23200</v>
      </c>
      <c r="D25" t="s">
        <v>282</v>
      </c>
      <c r="E25" t="s">
        <v>283</v>
      </c>
      <c r="F25" t="s">
        <v>284</v>
      </c>
    </row>
    <row r="26" spans="1:6">
      <c r="C26" s="356">
        <f>C25*10</f>
        <v>232000</v>
      </c>
    </row>
    <row r="27" spans="1:6">
      <c r="C27" s="356"/>
    </row>
    <row r="28" spans="1:6">
      <c r="A28" t="s">
        <v>286</v>
      </c>
      <c r="C28" s="356">
        <f>C21+C26</f>
        <v>1286188</v>
      </c>
      <c r="D28" t="s">
        <v>287</v>
      </c>
    </row>
    <row r="30" spans="1:6">
      <c r="A30" t="s">
        <v>288</v>
      </c>
    </row>
    <row r="32" spans="1:6">
      <c r="A32" s="27" t="s">
        <v>289</v>
      </c>
      <c r="B32" s="27"/>
      <c r="C32" s="371">
        <f>C28/10000*18*(-1)</f>
        <v>-2315.1383999999998</v>
      </c>
      <c r="D32" s="236" t="s">
        <v>290</v>
      </c>
    </row>
    <row r="35" spans="1:24">
      <c r="A35" s="437">
        <v>2017</v>
      </c>
      <c r="B35" s="437"/>
      <c r="C35" s="437">
        <v>1383936</v>
      </c>
      <c r="D35" s="437" t="s">
        <v>287</v>
      </c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</row>
    <row r="36" spans="1:24">
      <c r="A36" s="437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</row>
    <row r="37" spans="1:24">
      <c r="A37" t="s">
        <v>288</v>
      </c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</row>
    <row r="38" spans="1:24"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</row>
    <row r="39" spans="1:24">
      <c r="A39" s="27" t="s">
        <v>289</v>
      </c>
      <c r="B39" s="27"/>
      <c r="C39" s="371">
        <f>C35/10000*18*(-1)</f>
        <v>-2491.0847999999996</v>
      </c>
      <c r="D39" s="236" t="s">
        <v>290</v>
      </c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</row>
    <row r="40" spans="1:24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</row>
    <row r="41" spans="1:24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</row>
    <row r="42" spans="1:24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</row>
    <row r="43" spans="1:24">
      <c r="A43" s="437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</row>
    <row r="44" spans="1:24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</row>
    <row r="45" spans="1:24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</row>
    <row r="46" spans="1:24">
      <c r="A46" s="437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</row>
    <row r="47" spans="1:24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</row>
    <row r="48" spans="1:24">
      <c r="A48" s="437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</row>
    <row r="49" spans="1:24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</row>
    <row r="50" spans="1:24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</row>
    <row r="51" spans="1:24">
      <c r="A51" s="437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</row>
    <row r="52" spans="1:24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</row>
    <row r="53" spans="1:24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</row>
    <row r="54" spans="1:24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</row>
    <row r="55" spans="1:24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</row>
    <row r="56" spans="1:24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</row>
    <row r="57" spans="1:24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</row>
    <row r="58" spans="1:24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</row>
    <row r="59" spans="1:24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</row>
    <row r="60" spans="1:24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</row>
    <row r="61" spans="1:24">
      <c r="A61" s="437"/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</row>
    <row r="62" spans="1:24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</row>
    <row r="63" spans="1:24">
      <c r="A63" s="437"/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</row>
    <row r="64" spans="1:24">
      <c r="A64" s="437"/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</row>
    <row r="65" spans="1:24">
      <c r="A65" s="437"/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</row>
    <row r="66" spans="1:24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</row>
    <row r="67" spans="1:24">
      <c r="A67" s="437"/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</row>
    <row r="68" spans="1:24">
      <c r="A68" s="437"/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</row>
    <row r="69" spans="1:24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</row>
    <row r="70" spans="1:24">
      <c r="A70" s="437"/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</row>
    <row r="71" spans="1:24">
      <c r="A71" s="437"/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</row>
    <row r="72" spans="1:24">
      <c r="A72" s="437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</row>
    <row r="73" spans="1:24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</row>
    <row r="74" spans="1:24">
      <c r="A74" s="437"/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</row>
    <row r="75" spans="1:24">
      <c r="A75" s="437"/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</row>
    <row r="76" spans="1:24">
      <c r="A76" s="437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</row>
    <row r="77" spans="1:24">
      <c r="A77" s="437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</row>
    <row r="78" spans="1:24">
      <c r="A78" s="437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</row>
    <row r="79" spans="1:24">
      <c r="A79" s="437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</row>
    <row r="80" spans="1:24">
      <c r="A80" s="437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</row>
    <row r="81" spans="1:24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</row>
    <row r="82" spans="1:24">
      <c r="A82" s="437"/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</row>
    <row r="83" spans="1:24">
      <c r="A83" s="437"/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</row>
    <row r="84" spans="1:24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</row>
    <row r="85" spans="1:24">
      <c r="A85" s="437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</row>
    <row r="86" spans="1:24">
      <c r="A86" s="437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</row>
    <row r="87" spans="1:24">
      <c r="A87" s="437"/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</row>
    <row r="88" spans="1:24">
      <c r="A88" s="437"/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</row>
    <row r="89" spans="1:24">
      <c r="A89" s="437"/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</row>
    <row r="90" spans="1:24">
      <c r="A90" s="437"/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</row>
    <row r="91" spans="1:24">
      <c r="A91" s="437"/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</row>
    <row r="92" spans="1:24">
      <c r="A92" s="437"/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</row>
    <row r="93" spans="1:24">
      <c r="A93" s="437"/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</row>
    <row r="94" spans="1:24">
      <c r="A94" s="437"/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</row>
    <row r="95" spans="1:24">
      <c r="A95" s="437"/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</row>
    <row r="96" spans="1:24">
      <c r="A96" s="437"/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</row>
    <row r="97" spans="1:24">
      <c r="A97" s="437"/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</row>
    <row r="98" spans="1:24">
      <c r="A98" s="437"/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</row>
    <row r="99" spans="1:24">
      <c r="A99" s="437"/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</row>
    <row r="100" spans="1:24">
      <c r="A100" s="437"/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</row>
    <row r="101" spans="1:24">
      <c r="A101" s="437"/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</row>
    <row r="102" spans="1:24">
      <c r="A102" s="437"/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</row>
    <row r="103" spans="1:24">
      <c r="A103" s="437"/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</row>
    <row r="104" spans="1:24">
      <c r="A104" s="437"/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</row>
    <row r="105" spans="1:24">
      <c r="A105" s="437"/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</row>
    <row r="106" spans="1:24">
      <c r="A106" s="437"/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</row>
    <row r="107" spans="1:24">
      <c r="A107" s="437"/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</row>
    <row r="108" spans="1:24">
      <c r="A108" s="437"/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</row>
    <row r="109" spans="1:24">
      <c r="A109" s="437"/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</row>
    <row r="110" spans="1:24">
      <c r="A110" s="437"/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</row>
    <row r="111" spans="1:24">
      <c r="A111" s="437"/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/>
      <c r="R111" s="437"/>
      <c r="S111" s="437"/>
      <c r="T111" s="437"/>
      <c r="U111" s="437"/>
      <c r="V111" s="437"/>
      <c r="W111" s="437"/>
      <c r="X111" s="437"/>
    </row>
    <row r="112" spans="1:24">
      <c r="A112" s="437"/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  <c r="U112" s="437"/>
      <c r="V112" s="437"/>
      <c r="W112" s="437"/>
      <c r="X112" s="437"/>
    </row>
    <row r="113" spans="1:24">
      <c r="A113" s="437"/>
      <c r="B113" s="437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/>
      <c r="U113" s="437"/>
      <c r="V113" s="437"/>
      <c r="W113" s="437"/>
      <c r="X113" s="437"/>
    </row>
    <row r="114" spans="1:24">
      <c r="A114" s="437"/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</row>
    <row r="115" spans="1:24">
      <c r="A115" s="437"/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  <c r="U115" s="437"/>
      <c r="V115" s="437"/>
      <c r="W115" s="437"/>
      <c r="X115" s="437"/>
    </row>
    <row r="116" spans="1:24">
      <c r="A116" s="437"/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</row>
    <row r="117" spans="1:24">
      <c r="A117" s="437"/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</row>
    <row r="118" spans="1:24">
      <c r="A118" s="437"/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/>
      <c r="X118" s="437"/>
    </row>
    <row r="119" spans="1:24">
      <c r="A119" s="437"/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</row>
    <row r="120" spans="1:24">
      <c r="A120" s="437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</row>
    <row r="121" spans="1:24">
      <c r="A121" s="437"/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</row>
    <row r="122" spans="1:24">
      <c r="A122" s="437"/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7"/>
      <c r="U122" s="437"/>
      <c r="V122" s="437"/>
      <c r="W122" s="437"/>
      <c r="X122" s="437"/>
    </row>
    <row r="123" spans="1:24">
      <c r="A123" s="437"/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</row>
    <row r="124" spans="1:24">
      <c r="A124" s="437"/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/>
      <c r="U124" s="437"/>
      <c r="V124" s="437"/>
      <c r="W124" s="437"/>
      <c r="X124" s="437"/>
    </row>
    <row r="125" spans="1:24">
      <c r="A125" s="437"/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</row>
    <row r="126" spans="1:24">
      <c r="A126" s="437"/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/>
      <c r="U126" s="437"/>
      <c r="V126" s="437"/>
      <c r="W126" s="437"/>
      <c r="X126" s="437"/>
    </row>
    <row r="127" spans="1:24">
      <c r="A127" s="437"/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37"/>
      <c r="X127" s="437"/>
    </row>
    <row r="128" spans="1:24">
      <c r="A128" s="437"/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/>
      <c r="U128" s="437"/>
      <c r="V128" s="437"/>
      <c r="W128" s="437"/>
      <c r="X128" s="437"/>
    </row>
    <row r="129" spans="1:24">
      <c r="A129" s="437"/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</row>
    <row r="130" spans="1:24">
      <c r="A130" s="437"/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  <c r="V130" s="437"/>
      <c r="W130" s="437"/>
      <c r="X130" s="437"/>
    </row>
    <row r="131" spans="1:24">
      <c r="A131" s="437"/>
      <c r="B131" s="437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  <c r="V131" s="437"/>
      <c r="W131" s="437"/>
      <c r="X131" s="437"/>
    </row>
    <row r="132" spans="1:24">
      <c r="A132" s="437"/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  <c r="V132" s="437"/>
      <c r="W132" s="437"/>
      <c r="X132" s="437"/>
    </row>
    <row r="133" spans="1:24">
      <c r="A133" s="437"/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</row>
    <row r="134" spans="1:24">
      <c r="A134" s="437"/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</row>
    <row r="135" spans="1:24">
      <c r="A135" s="437"/>
      <c r="B135" s="437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  <c r="V135" s="437"/>
      <c r="W135" s="437"/>
      <c r="X135" s="437"/>
    </row>
    <row r="136" spans="1:24">
      <c r="A136" s="437"/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  <c r="V136" s="437"/>
      <c r="W136" s="437"/>
      <c r="X136" s="437"/>
    </row>
    <row r="137" spans="1:24">
      <c r="A137" s="437"/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  <c r="V137" s="437"/>
      <c r="W137" s="437"/>
      <c r="X137" s="437"/>
    </row>
    <row r="138" spans="1:24">
      <c r="A138" s="437"/>
      <c r="B138" s="437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</row>
    <row r="139" spans="1:24">
      <c r="A139" s="437"/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</row>
    <row r="140" spans="1:24">
      <c r="A140" s="437"/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</row>
    <row r="141" spans="1:24">
      <c r="A141" s="437"/>
      <c r="B141" s="437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</row>
    <row r="142" spans="1:24">
      <c r="A142" s="437"/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</row>
    <row r="143" spans="1:24">
      <c r="A143" s="437"/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7"/>
    </row>
    <row r="144" spans="1:24">
      <c r="A144" s="437"/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</row>
    <row r="145" spans="1:24">
      <c r="A145" s="437"/>
      <c r="B145" s="437"/>
      <c r="C145" s="437"/>
      <c r="D145" s="437"/>
      <c r="E145" s="437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437"/>
      <c r="V145" s="437"/>
      <c r="W145" s="437"/>
      <c r="X145" s="437"/>
    </row>
    <row r="146" spans="1:24">
      <c r="A146" s="437"/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  <c r="V146" s="437"/>
      <c r="W146" s="437"/>
      <c r="X146" s="437"/>
    </row>
    <row r="147" spans="1:24">
      <c r="A147" s="437"/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</row>
    <row r="148" spans="1:24">
      <c r="A148" s="437"/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  <c r="V148" s="437"/>
      <c r="W148" s="437"/>
      <c r="X148" s="437"/>
    </row>
    <row r="149" spans="1:24">
      <c r="A149" s="437"/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  <c r="V149" s="437"/>
      <c r="W149" s="437"/>
      <c r="X149" s="437"/>
    </row>
    <row r="150" spans="1:24">
      <c r="A150" s="437"/>
      <c r="B150" s="437"/>
      <c r="C150" s="437"/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7"/>
      <c r="U150" s="437"/>
      <c r="V150" s="437"/>
      <c r="W150" s="437"/>
      <c r="X150" s="437"/>
    </row>
    <row r="151" spans="1:24">
      <c r="A151" s="437"/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437"/>
      <c r="X151" s="437"/>
    </row>
    <row r="152" spans="1:24">
      <c r="A152" s="437"/>
      <c r="B152" s="437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</row>
    <row r="153" spans="1:24">
      <c r="A153" s="437"/>
      <c r="B153" s="437"/>
      <c r="C153" s="437"/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37"/>
      <c r="X153" s="437"/>
    </row>
    <row r="154" spans="1:24">
      <c r="A154" s="437"/>
      <c r="B154" s="437"/>
      <c r="C154" s="437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  <c r="V154" s="437"/>
      <c r="W154" s="437"/>
      <c r="X154" s="437"/>
    </row>
    <row r="155" spans="1:24">
      <c r="A155" s="437"/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  <c r="V155" s="437"/>
      <c r="W155" s="437"/>
      <c r="X155" s="437"/>
    </row>
    <row r="156" spans="1:24">
      <c r="A156" s="437"/>
      <c r="B156" s="437"/>
      <c r="C156" s="437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</row>
    <row r="157" spans="1:24">
      <c r="A157" s="437"/>
      <c r="B157" s="437"/>
      <c r="C157" s="437"/>
      <c r="D157" s="437"/>
      <c r="E157" s="437"/>
      <c r="F157" s="437"/>
      <c r="G157" s="437"/>
      <c r="H157" s="437"/>
      <c r="I157" s="437"/>
      <c r="J157" s="437"/>
      <c r="K157" s="437"/>
      <c r="L157" s="437"/>
      <c r="M157" s="437"/>
      <c r="N157" s="437"/>
      <c r="O157" s="437"/>
      <c r="P157" s="437"/>
      <c r="Q157" s="437"/>
      <c r="R157" s="437"/>
      <c r="S157" s="437"/>
      <c r="T157" s="437"/>
      <c r="U157" s="437"/>
      <c r="V157" s="437"/>
      <c r="W157" s="437"/>
      <c r="X157" s="437"/>
    </row>
    <row r="158" spans="1:24">
      <c r="A158" s="437"/>
      <c r="B158" s="437"/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437"/>
      <c r="V158" s="437"/>
      <c r="W158" s="437"/>
      <c r="X158" s="437"/>
    </row>
    <row r="159" spans="1:24">
      <c r="A159" s="437"/>
      <c r="B159" s="437"/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437"/>
      <c r="V159" s="437"/>
      <c r="W159" s="437"/>
      <c r="X159" s="437"/>
    </row>
    <row r="160" spans="1:24">
      <c r="A160" s="437"/>
      <c r="B160" s="437"/>
      <c r="C160" s="437"/>
      <c r="D160" s="437"/>
      <c r="E160" s="437"/>
      <c r="F160" s="437"/>
      <c r="G160" s="437"/>
      <c r="H160" s="437"/>
      <c r="I160" s="437"/>
      <c r="J160" s="437"/>
      <c r="K160" s="437"/>
      <c r="L160" s="437"/>
      <c r="M160" s="437"/>
      <c r="N160" s="437"/>
      <c r="O160" s="437"/>
      <c r="P160" s="437"/>
      <c r="Q160" s="437"/>
      <c r="R160" s="437"/>
      <c r="S160" s="437"/>
      <c r="T160" s="437"/>
      <c r="U160" s="437"/>
      <c r="V160" s="437"/>
      <c r="W160" s="437"/>
      <c r="X160" s="437"/>
    </row>
    <row r="161" spans="1:24">
      <c r="A161" s="437"/>
      <c r="B161" s="437"/>
      <c r="C161" s="437"/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437"/>
      <c r="Q161" s="437"/>
      <c r="R161" s="437"/>
      <c r="S161" s="437"/>
      <c r="T161" s="437"/>
      <c r="U161" s="437"/>
      <c r="V161" s="437"/>
      <c r="W161" s="437"/>
      <c r="X161" s="437"/>
    </row>
    <row r="162" spans="1:24">
      <c r="A162" s="437"/>
      <c r="B162" s="437"/>
      <c r="C162" s="43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7"/>
      <c r="Q162" s="437"/>
      <c r="R162" s="437"/>
      <c r="S162" s="437"/>
      <c r="T162" s="437"/>
      <c r="U162" s="437"/>
      <c r="V162" s="437"/>
      <c r="W162" s="437"/>
      <c r="X162" s="437"/>
    </row>
    <row r="163" spans="1:24">
      <c r="A163" s="437"/>
      <c r="B163" s="437"/>
      <c r="C163" s="437"/>
      <c r="D163" s="437"/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437"/>
      <c r="Q163" s="437"/>
      <c r="R163" s="437"/>
      <c r="S163" s="437"/>
      <c r="T163" s="437"/>
      <c r="U163" s="437"/>
      <c r="V163" s="437"/>
      <c r="W163" s="437"/>
      <c r="X163" s="437"/>
    </row>
    <row r="164" spans="1:24">
      <c r="A164" s="437"/>
      <c r="B164" s="437"/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7"/>
      <c r="Q164" s="437"/>
      <c r="R164" s="437"/>
      <c r="S164" s="437"/>
      <c r="T164" s="437"/>
      <c r="U164" s="437"/>
      <c r="V164" s="437"/>
      <c r="W164" s="437"/>
      <c r="X164" s="437"/>
    </row>
    <row r="165" spans="1:24">
      <c r="A165" s="437"/>
      <c r="B165" s="437"/>
      <c r="C165" s="437"/>
      <c r="D165" s="437"/>
      <c r="E165" s="437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7"/>
      <c r="Q165" s="437"/>
      <c r="R165" s="437"/>
      <c r="S165" s="437"/>
      <c r="T165" s="437"/>
      <c r="U165" s="437"/>
      <c r="V165" s="437"/>
      <c r="W165" s="437"/>
      <c r="X165" s="437"/>
    </row>
    <row r="166" spans="1:24">
      <c r="A166" s="437"/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</row>
    <row r="167" spans="1:24">
      <c r="A167" s="437"/>
      <c r="B167" s="437"/>
      <c r="C167" s="437"/>
      <c r="D167" s="437"/>
      <c r="E167" s="437"/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437"/>
      <c r="Q167" s="437"/>
      <c r="R167" s="437"/>
      <c r="S167" s="437"/>
      <c r="T167" s="437"/>
      <c r="U167" s="437"/>
      <c r="V167" s="437"/>
      <c r="W167" s="437"/>
      <c r="X167" s="437"/>
    </row>
    <row r="168" spans="1:24">
      <c r="A168" s="437"/>
      <c r="B168" s="437"/>
      <c r="C168" s="437"/>
      <c r="D168" s="437"/>
      <c r="E168" s="437"/>
      <c r="F168" s="437"/>
      <c r="G168" s="437"/>
      <c r="H168" s="437"/>
      <c r="I168" s="437"/>
      <c r="J168" s="437"/>
      <c r="K168" s="437"/>
      <c r="L168" s="437"/>
      <c r="M168" s="437"/>
      <c r="N168" s="437"/>
      <c r="O168" s="437"/>
      <c r="P168" s="437"/>
      <c r="Q168" s="437"/>
      <c r="R168" s="437"/>
      <c r="S168" s="437"/>
      <c r="T168" s="437"/>
      <c r="U168" s="437"/>
      <c r="V168" s="437"/>
      <c r="W168" s="437"/>
      <c r="X168" s="437"/>
    </row>
    <row r="169" spans="1:24">
      <c r="A169" s="437"/>
      <c r="B169" s="437"/>
      <c r="C169" s="437"/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437"/>
      <c r="Q169" s="437"/>
      <c r="R169" s="437"/>
      <c r="S169" s="437"/>
      <c r="T169" s="437"/>
      <c r="U169" s="437"/>
      <c r="V169" s="437"/>
      <c r="W169" s="437"/>
      <c r="X169" s="437"/>
    </row>
    <row r="170" spans="1:24">
      <c r="A170" s="437"/>
      <c r="B170" s="437"/>
      <c r="C170" s="437"/>
      <c r="D170" s="437"/>
      <c r="E170" s="437"/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  <c r="V170" s="437"/>
      <c r="W170" s="437"/>
      <c r="X170" s="437"/>
    </row>
    <row r="171" spans="1:24">
      <c r="A171" s="437"/>
      <c r="B171" s="437"/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  <c r="V171" s="437"/>
      <c r="W171" s="437"/>
      <c r="X171" s="437"/>
    </row>
    <row r="172" spans="1:24">
      <c r="A172" s="437"/>
      <c r="B172" s="437"/>
      <c r="C172" s="437"/>
      <c r="D172" s="437"/>
      <c r="E172" s="437"/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  <c r="V172" s="437"/>
      <c r="W172" s="437"/>
      <c r="X172" s="437"/>
    </row>
    <row r="173" spans="1:24">
      <c r="A173" s="437"/>
      <c r="B173" s="437"/>
      <c r="C173" s="437"/>
      <c r="D173" s="437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  <c r="P173" s="437"/>
      <c r="Q173" s="437"/>
      <c r="R173" s="437"/>
      <c r="S173" s="437"/>
      <c r="T173" s="437"/>
      <c r="U173" s="437"/>
      <c r="V173" s="437"/>
      <c r="W173" s="437"/>
      <c r="X173" s="437"/>
    </row>
    <row r="174" spans="1:24">
      <c r="A174" s="437"/>
      <c r="B174" s="437"/>
      <c r="C174" s="437"/>
      <c r="D174" s="437"/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437"/>
      <c r="R174" s="437"/>
      <c r="S174" s="437"/>
      <c r="T174" s="437"/>
      <c r="U174" s="437"/>
      <c r="V174" s="437"/>
      <c r="W174" s="437"/>
      <c r="X174" s="437"/>
    </row>
    <row r="175" spans="1:24">
      <c r="A175" s="437"/>
      <c r="B175" s="437"/>
      <c r="C175" s="437"/>
      <c r="D175" s="437"/>
      <c r="E175" s="437"/>
      <c r="F175" s="437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437"/>
      <c r="R175" s="437"/>
      <c r="S175" s="437"/>
      <c r="T175" s="437"/>
      <c r="U175" s="437"/>
      <c r="V175" s="437"/>
      <c r="W175" s="437"/>
      <c r="X175" s="437"/>
    </row>
    <row r="176" spans="1:24">
      <c r="A176" s="437"/>
      <c r="B176" s="437"/>
      <c r="C176" s="437"/>
      <c r="D176" s="437"/>
      <c r="E176" s="437"/>
      <c r="F176" s="437"/>
      <c r="G176" s="437"/>
      <c r="H176" s="437"/>
      <c r="I176" s="437"/>
      <c r="J176" s="437"/>
      <c r="K176" s="437"/>
      <c r="L176" s="437"/>
      <c r="M176" s="437"/>
      <c r="N176" s="437"/>
      <c r="O176" s="437"/>
      <c r="P176" s="437"/>
      <c r="Q176" s="437"/>
      <c r="R176" s="437"/>
      <c r="S176" s="437"/>
      <c r="T176" s="437"/>
      <c r="U176" s="437"/>
      <c r="V176" s="437"/>
      <c r="W176" s="437"/>
      <c r="X176" s="437"/>
    </row>
    <row r="177" spans="1:24">
      <c r="A177" s="437"/>
      <c r="B177" s="437"/>
      <c r="C177" s="437"/>
      <c r="D177" s="437"/>
      <c r="E177" s="437"/>
      <c r="F177" s="437"/>
      <c r="G177" s="437"/>
      <c r="H177" s="437"/>
      <c r="I177" s="437"/>
      <c r="J177" s="437"/>
      <c r="K177" s="437"/>
      <c r="L177" s="437"/>
      <c r="M177" s="437"/>
      <c r="N177" s="437"/>
      <c r="O177" s="437"/>
      <c r="P177" s="437"/>
      <c r="Q177" s="437"/>
      <c r="R177" s="437"/>
      <c r="S177" s="437"/>
      <c r="T177" s="437"/>
      <c r="U177" s="437"/>
      <c r="V177" s="437"/>
      <c r="W177" s="437"/>
      <c r="X177" s="437"/>
    </row>
    <row r="178" spans="1:24">
      <c r="A178" s="437"/>
      <c r="B178" s="437"/>
      <c r="C178" s="437"/>
      <c r="D178" s="437"/>
      <c r="E178" s="437"/>
      <c r="F178" s="437"/>
      <c r="G178" s="437"/>
      <c r="H178" s="437"/>
      <c r="I178" s="437"/>
      <c r="J178" s="437"/>
      <c r="K178" s="437"/>
      <c r="L178" s="437"/>
      <c r="M178" s="437"/>
      <c r="N178" s="437"/>
      <c r="O178" s="437"/>
      <c r="P178" s="437"/>
      <c r="Q178" s="437"/>
      <c r="R178" s="437"/>
      <c r="S178" s="437"/>
      <c r="T178" s="437"/>
      <c r="U178" s="437"/>
      <c r="V178" s="437"/>
      <c r="W178" s="437"/>
      <c r="X178" s="437"/>
    </row>
    <row r="179" spans="1:24">
      <c r="A179" s="437"/>
      <c r="B179" s="437"/>
      <c r="C179" s="437"/>
      <c r="D179" s="437"/>
      <c r="E179" s="437"/>
      <c r="F179" s="437"/>
      <c r="G179" s="437"/>
      <c r="H179" s="437"/>
      <c r="I179" s="437"/>
      <c r="J179" s="437"/>
      <c r="K179" s="437"/>
      <c r="L179" s="437"/>
      <c r="M179" s="437"/>
      <c r="N179" s="437"/>
      <c r="O179" s="437"/>
      <c r="P179" s="437"/>
      <c r="Q179" s="437"/>
      <c r="R179" s="437"/>
      <c r="S179" s="437"/>
      <c r="T179" s="437"/>
      <c r="U179" s="437"/>
      <c r="V179" s="437"/>
      <c r="W179" s="437"/>
      <c r="X179" s="437"/>
    </row>
    <row r="180" spans="1:24">
      <c r="A180" s="437"/>
      <c r="B180" s="437"/>
      <c r="C180" s="437"/>
      <c r="D180" s="437"/>
      <c r="E180" s="437"/>
      <c r="F180" s="437"/>
      <c r="G180" s="437"/>
      <c r="H180" s="437"/>
      <c r="I180" s="437"/>
      <c r="J180" s="437"/>
      <c r="K180" s="437"/>
      <c r="L180" s="437"/>
      <c r="M180" s="437"/>
      <c r="N180" s="437"/>
      <c r="O180" s="437"/>
      <c r="P180" s="437"/>
      <c r="Q180" s="437"/>
      <c r="R180" s="437"/>
      <c r="S180" s="437"/>
      <c r="T180" s="437"/>
      <c r="U180" s="437"/>
      <c r="V180" s="437"/>
      <c r="W180" s="437"/>
      <c r="X180" s="437"/>
    </row>
    <row r="181" spans="1:24">
      <c r="A181" s="437"/>
      <c r="B181" s="437"/>
      <c r="C181" s="437"/>
      <c r="D181" s="437"/>
      <c r="E181" s="437"/>
      <c r="F181" s="437"/>
      <c r="G181" s="437"/>
      <c r="H181" s="437"/>
      <c r="I181" s="437"/>
      <c r="J181" s="437"/>
      <c r="K181" s="437"/>
      <c r="L181" s="437"/>
      <c r="M181" s="437"/>
      <c r="N181" s="437"/>
      <c r="O181" s="437"/>
      <c r="P181" s="437"/>
      <c r="Q181" s="437"/>
      <c r="R181" s="437"/>
      <c r="S181" s="437"/>
      <c r="T181" s="437"/>
      <c r="U181" s="437"/>
      <c r="V181" s="437"/>
      <c r="W181" s="437"/>
      <c r="X181" s="437"/>
    </row>
    <row r="182" spans="1:24">
      <c r="A182" s="437"/>
      <c r="B182" s="437"/>
      <c r="C182" s="437"/>
      <c r="D182" s="437"/>
      <c r="E182" s="437"/>
      <c r="F182" s="437"/>
      <c r="G182" s="437"/>
      <c r="H182" s="437"/>
      <c r="I182" s="437"/>
      <c r="J182" s="437"/>
      <c r="K182" s="437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  <c r="V182" s="437"/>
      <c r="W182" s="437"/>
      <c r="X182" s="437"/>
    </row>
    <row r="183" spans="1:24">
      <c r="A183" s="437"/>
      <c r="B183" s="437"/>
      <c r="C183" s="437"/>
      <c r="D183" s="437"/>
      <c r="E183" s="437"/>
      <c r="F183" s="437"/>
      <c r="G183" s="437"/>
      <c r="H183" s="437"/>
      <c r="I183" s="437"/>
      <c r="J183" s="437"/>
      <c r="K183" s="437"/>
      <c r="L183" s="437"/>
      <c r="M183" s="437"/>
      <c r="N183" s="437"/>
      <c r="O183" s="437"/>
      <c r="P183" s="437"/>
      <c r="Q183" s="437"/>
      <c r="R183" s="437"/>
      <c r="S183" s="437"/>
      <c r="T183" s="437"/>
      <c r="U183" s="437"/>
      <c r="V183" s="437"/>
      <c r="W183" s="437"/>
      <c r="X183" s="437"/>
    </row>
    <row r="184" spans="1:24">
      <c r="A184" s="437"/>
      <c r="B184" s="437"/>
      <c r="C184" s="437"/>
      <c r="D184" s="437"/>
      <c r="E184" s="437"/>
      <c r="F184" s="437"/>
      <c r="G184" s="437"/>
      <c r="H184" s="437"/>
      <c r="I184" s="437"/>
      <c r="J184" s="437"/>
      <c r="K184" s="437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</row>
    <row r="185" spans="1:24">
      <c r="A185" s="437"/>
      <c r="B185" s="437"/>
      <c r="C185" s="437"/>
      <c r="D185" s="437"/>
      <c r="E185" s="437"/>
      <c r="F185" s="437"/>
      <c r="G185" s="437"/>
      <c r="H185" s="437"/>
      <c r="I185" s="437"/>
      <c r="J185" s="437"/>
      <c r="K185" s="437"/>
      <c r="L185" s="437"/>
      <c r="M185" s="437"/>
      <c r="N185" s="437"/>
      <c r="O185" s="437"/>
      <c r="P185" s="437"/>
      <c r="Q185" s="437"/>
      <c r="R185" s="437"/>
      <c r="S185" s="437"/>
      <c r="T185" s="437"/>
      <c r="U185" s="437"/>
      <c r="V185" s="437"/>
      <c r="W185" s="437"/>
      <c r="X185" s="437"/>
    </row>
    <row r="186" spans="1:24">
      <c r="A186" s="437"/>
      <c r="B186" s="437"/>
      <c r="C186" s="437"/>
      <c r="D186" s="437"/>
      <c r="E186" s="437"/>
      <c r="F186" s="437"/>
      <c r="G186" s="437"/>
      <c r="H186" s="437"/>
      <c r="I186" s="437"/>
      <c r="J186" s="437"/>
      <c r="K186" s="437"/>
      <c r="L186" s="437"/>
      <c r="M186" s="437"/>
      <c r="N186" s="437"/>
      <c r="O186" s="437"/>
      <c r="P186" s="437"/>
      <c r="Q186" s="437"/>
      <c r="R186" s="437"/>
      <c r="S186" s="437"/>
      <c r="T186" s="437"/>
      <c r="U186" s="437"/>
      <c r="V186" s="437"/>
      <c r="W186" s="437"/>
      <c r="X186" s="437"/>
    </row>
    <row r="187" spans="1:24">
      <c r="A187" s="437"/>
      <c r="B187" s="437"/>
      <c r="C187" s="437"/>
      <c r="D187" s="437"/>
      <c r="E187" s="437"/>
      <c r="F187" s="437"/>
      <c r="G187" s="437"/>
      <c r="H187" s="437"/>
      <c r="I187" s="437"/>
      <c r="J187" s="437"/>
      <c r="K187" s="437"/>
      <c r="L187" s="437"/>
      <c r="M187" s="437"/>
      <c r="N187" s="437"/>
      <c r="O187" s="437"/>
      <c r="P187" s="437"/>
      <c r="Q187" s="437"/>
      <c r="R187" s="437"/>
      <c r="S187" s="437"/>
      <c r="T187" s="437"/>
      <c r="U187" s="437"/>
      <c r="V187" s="437"/>
      <c r="W187" s="437"/>
      <c r="X187" s="437"/>
    </row>
    <row r="188" spans="1:24">
      <c r="A188" s="437"/>
      <c r="B188" s="437"/>
      <c r="C188" s="437"/>
      <c r="D188" s="437"/>
      <c r="E188" s="437"/>
      <c r="F188" s="437"/>
      <c r="G188" s="437"/>
      <c r="H188" s="437"/>
      <c r="I188" s="437"/>
      <c r="J188" s="437"/>
      <c r="K188" s="437"/>
      <c r="L188" s="437"/>
      <c r="M188" s="437"/>
      <c r="N188" s="437"/>
      <c r="O188" s="437"/>
      <c r="P188" s="437"/>
      <c r="Q188" s="437"/>
      <c r="R188" s="437"/>
      <c r="S188" s="437"/>
      <c r="T188" s="437"/>
      <c r="U188" s="437"/>
      <c r="V188" s="437"/>
      <c r="W188" s="437"/>
      <c r="X188" s="437"/>
    </row>
    <row r="189" spans="1:24">
      <c r="A189" s="437"/>
      <c r="B189" s="437"/>
      <c r="C189" s="437"/>
      <c r="D189" s="437"/>
      <c r="E189" s="437"/>
      <c r="F189" s="437"/>
      <c r="G189" s="437"/>
      <c r="H189" s="437"/>
      <c r="I189" s="437"/>
      <c r="J189" s="437"/>
      <c r="K189" s="437"/>
      <c r="L189" s="437"/>
      <c r="M189" s="437"/>
      <c r="N189" s="437"/>
      <c r="O189" s="437"/>
      <c r="P189" s="437"/>
      <c r="Q189" s="437"/>
      <c r="R189" s="437"/>
      <c r="S189" s="437"/>
      <c r="T189" s="437"/>
      <c r="U189" s="437"/>
      <c r="V189" s="437"/>
      <c r="W189" s="437"/>
      <c r="X189" s="437"/>
    </row>
    <row r="190" spans="1:24">
      <c r="A190" s="437"/>
      <c r="B190" s="437"/>
      <c r="C190" s="437"/>
      <c r="D190" s="437"/>
      <c r="E190" s="437"/>
      <c r="F190" s="437"/>
      <c r="G190" s="437"/>
      <c r="H190" s="437"/>
      <c r="I190" s="437"/>
      <c r="J190" s="437"/>
      <c r="K190" s="437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</row>
    <row r="191" spans="1:24">
      <c r="A191" s="437"/>
      <c r="B191" s="437"/>
      <c r="C191" s="437"/>
      <c r="D191" s="437"/>
      <c r="E191" s="437"/>
      <c r="F191" s="437"/>
      <c r="G191" s="437"/>
      <c r="H191" s="437"/>
      <c r="I191" s="437"/>
      <c r="J191" s="437"/>
      <c r="K191" s="437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437"/>
    </row>
    <row r="192" spans="1:24">
      <c r="A192" s="437"/>
      <c r="B192" s="437"/>
      <c r="C192" s="437"/>
      <c r="D192" s="437"/>
      <c r="E192" s="437"/>
      <c r="F192" s="437"/>
      <c r="G192" s="437"/>
      <c r="H192" s="437"/>
      <c r="I192" s="437"/>
      <c r="J192" s="437"/>
      <c r="K192" s="437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  <c r="V192" s="437"/>
      <c r="W192" s="437"/>
      <c r="X192" s="437"/>
    </row>
    <row r="193" spans="1:24">
      <c r="A193" s="437"/>
      <c r="B193" s="437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437"/>
      <c r="N193" s="437"/>
      <c r="O193" s="437"/>
      <c r="P193" s="437"/>
      <c r="Q193" s="437"/>
      <c r="R193" s="437"/>
      <c r="S193" s="437"/>
      <c r="T193" s="437"/>
      <c r="U193" s="437"/>
      <c r="V193" s="437"/>
      <c r="W193" s="437"/>
      <c r="X193" s="437"/>
    </row>
    <row r="194" spans="1:24">
      <c r="A194" s="437"/>
      <c r="B194" s="437"/>
      <c r="C194" s="437"/>
      <c r="D194" s="437"/>
      <c r="E194" s="437"/>
      <c r="F194" s="437"/>
      <c r="G194" s="437"/>
      <c r="H194" s="437"/>
      <c r="I194" s="437"/>
      <c r="J194" s="437"/>
      <c r="K194" s="437"/>
      <c r="L194" s="437"/>
      <c r="M194" s="437"/>
      <c r="N194" s="437"/>
      <c r="O194" s="437"/>
      <c r="P194" s="437"/>
      <c r="Q194" s="437"/>
      <c r="R194" s="437"/>
      <c r="S194" s="437"/>
      <c r="T194" s="437"/>
      <c r="U194" s="437"/>
      <c r="V194" s="437"/>
      <c r="W194" s="437"/>
      <c r="X194" s="437"/>
    </row>
    <row r="195" spans="1:24">
      <c r="A195" s="437"/>
      <c r="B195" s="437"/>
      <c r="C195" s="437"/>
      <c r="D195" s="437"/>
      <c r="E195" s="437"/>
      <c r="F195" s="437"/>
      <c r="G195" s="437"/>
      <c r="H195" s="437"/>
      <c r="I195" s="437"/>
      <c r="J195" s="437"/>
      <c r="K195" s="437"/>
      <c r="L195" s="437"/>
      <c r="M195" s="437"/>
      <c r="N195" s="437"/>
      <c r="O195" s="437"/>
      <c r="P195" s="437"/>
      <c r="Q195" s="437"/>
      <c r="R195" s="437"/>
      <c r="S195" s="437"/>
      <c r="T195" s="437"/>
      <c r="U195" s="437"/>
      <c r="V195" s="437"/>
      <c r="W195" s="437"/>
      <c r="X195" s="437"/>
    </row>
    <row r="196" spans="1:24">
      <c r="A196" s="437"/>
      <c r="B196" s="437"/>
      <c r="C196" s="437"/>
      <c r="D196" s="437"/>
      <c r="E196" s="437"/>
      <c r="F196" s="437"/>
      <c r="G196" s="437"/>
      <c r="H196" s="437"/>
      <c r="I196" s="437"/>
      <c r="J196" s="437"/>
      <c r="K196" s="437"/>
      <c r="L196" s="437"/>
      <c r="M196" s="437"/>
      <c r="N196" s="437"/>
      <c r="O196" s="437"/>
      <c r="P196" s="437"/>
      <c r="Q196" s="437"/>
      <c r="R196" s="437"/>
      <c r="S196" s="437"/>
      <c r="T196" s="437"/>
      <c r="U196" s="437"/>
      <c r="V196" s="437"/>
      <c r="W196" s="437"/>
      <c r="X196" s="437"/>
    </row>
    <row r="197" spans="1:24">
      <c r="A197" s="437"/>
      <c r="B197" s="437"/>
      <c r="C197" s="437"/>
      <c r="D197" s="437"/>
      <c r="E197" s="437"/>
      <c r="F197" s="437"/>
      <c r="G197" s="437"/>
      <c r="H197" s="437"/>
      <c r="I197" s="437"/>
      <c r="J197" s="437"/>
      <c r="K197" s="437"/>
      <c r="L197" s="437"/>
      <c r="M197" s="437"/>
      <c r="N197" s="437"/>
      <c r="O197" s="437"/>
      <c r="P197" s="437"/>
      <c r="Q197" s="437"/>
      <c r="R197" s="437"/>
      <c r="S197" s="437"/>
      <c r="T197" s="437"/>
      <c r="U197" s="437"/>
      <c r="V197" s="437"/>
      <c r="W197" s="437"/>
      <c r="X197" s="437"/>
    </row>
    <row r="198" spans="1:24">
      <c r="A198" s="437"/>
      <c r="B198" s="437"/>
      <c r="C198" s="437"/>
      <c r="D198" s="437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7"/>
      <c r="Q198" s="437"/>
      <c r="R198" s="437"/>
      <c r="S198" s="437"/>
      <c r="T198" s="437"/>
      <c r="U198" s="437"/>
      <c r="V198" s="437"/>
      <c r="W198" s="437"/>
      <c r="X198" s="437"/>
    </row>
    <row r="199" spans="1:24">
      <c r="A199" s="437"/>
      <c r="B199" s="437"/>
      <c r="C199" s="437"/>
      <c r="D199" s="437"/>
      <c r="E199" s="437"/>
      <c r="F199" s="437"/>
      <c r="G199" s="437"/>
      <c r="H199" s="437"/>
      <c r="I199" s="437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  <c r="U199" s="437"/>
      <c r="V199" s="437"/>
      <c r="W199" s="437"/>
      <c r="X199" s="437"/>
    </row>
    <row r="200" spans="1:24">
      <c r="A200" s="437"/>
      <c r="B200" s="437"/>
      <c r="C200" s="437"/>
      <c r="D200" s="437"/>
      <c r="E200" s="437"/>
      <c r="F200" s="437"/>
      <c r="G200" s="437"/>
      <c r="H200" s="437"/>
      <c r="I200" s="437"/>
      <c r="J200" s="437"/>
      <c r="K200" s="437"/>
      <c r="L200" s="437"/>
      <c r="M200" s="437"/>
      <c r="N200" s="437"/>
      <c r="O200" s="437"/>
      <c r="P200" s="437"/>
      <c r="Q200" s="437"/>
      <c r="R200" s="437"/>
      <c r="S200" s="437"/>
      <c r="T200" s="437"/>
      <c r="U200" s="437"/>
      <c r="V200" s="437"/>
      <c r="W200" s="437"/>
      <c r="X200" s="437"/>
    </row>
    <row r="201" spans="1:24">
      <c r="A201" s="437"/>
      <c r="B201" s="437"/>
      <c r="C201" s="437"/>
      <c r="D201" s="437"/>
      <c r="E201" s="437"/>
      <c r="F201" s="437"/>
      <c r="G201" s="437"/>
      <c r="H201" s="437"/>
      <c r="I201" s="437"/>
      <c r="J201" s="437"/>
      <c r="K201" s="437"/>
      <c r="L201" s="437"/>
      <c r="M201" s="437"/>
      <c r="N201" s="437"/>
      <c r="O201" s="437"/>
      <c r="P201" s="437"/>
      <c r="Q201" s="437"/>
      <c r="R201" s="437"/>
      <c r="S201" s="437"/>
      <c r="T201" s="437"/>
      <c r="U201" s="437"/>
      <c r="V201" s="437"/>
      <c r="W201" s="437"/>
      <c r="X201" s="437"/>
    </row>
    <row r="202" spans="1:24">
      <c r="A202" s="437"/>
      <c r="B202" s="437"/>
      <c r="C202" s="437"/>
      <c r="D202" s="437"/>
      <c r="E202" s="437"/>
      <c r="F202" s="437"/>
      <c r="G202" s="437"/>
      <c r="H202" s="437"/>
      <c r="I202" s="437"/>
      <c r="J202" s="437"/>
      <c r="K202" s="437"/>
      <c r="L202" s="437"/>
      <c r="M202" s="437"/>
      <c r="N202" s="437"/>
      <c r="O202" s="437"/>
      <c r="P202" s="437"/>
      <c r="Q202" s="437"/>
      <c r="R202" s="437"/>
      <c r="S202" s="437"/>
      <c r="T202" s="437"/>
      <c r="U202" s="437"/>
      <c r="V202" s="437"/>
      <c r="W202" s="437"/>
      <c r="X202" s="437"/>
    </row>
    <row r="203" spans="1:24">
      <c r="A203" s="437"/>
      <c r="B203" s="437"/>
      <c r="C203" s="437"/>
      <c r="D203" s="437"/>
      <c r="E203" s="437"/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  <c r="U203" s="437"/>
      <c r="V203" s="437"/>
      <c r="W203" s="437"/>
      <c r="X203" s="437"/>
    </row>
    <row r="204" spans="1:24">
      <c r="A204" s="437"/>
      <c r="B204" s="437"/>
      <c r="C204" s="437"/>
      <c r="D204" s="437"/>
      <c r="E204" s="437"/>
      <c r="F204" s="437"/>
      <c r="G204" s="437"/>
      <c r="H204" s="437"/>
      <c r="I204" s="437"/>
      <c r="J204" s="437"/>
      <c r="K204" s="437"/>
      <c r="L204" s="437"/>
      <c r="M204" s="437"/>
      <c r="N204" s="437"/>
      <c r="O204" s="437"/>
      <c r="P204" s="437"/>
      <c r="Q204" s="437"/>
      <c r="R204" s="437"/>
      <c r="S204" s="437"/>
      <c r="T204" s="437"/>
      <c r="U204" s="437"/>
      <c r="V204" s="437"/>
      <c r="W204" s="437"/>
      <c r="X204" s="437"/>
    </row>
    <row r="205" spans="1:24">
      <c r="A205" s="437"/>
      <c r="B205" s="437"/>
      <c r="C205" s="437"/>
      <c r="D205" s="437"/>
      <c r="E205" s="437"/>
      <c r="F205" s="437"/>
      <c r="G205" s="437"/>
      <c r="H205" s="437"/>
      <c r="I205" s="437"/>
      <c r="J205" s="437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  <c r="V205" s="437"/>
      <c r="W205" s="437"/>
      <c r="X205" s="437"/>
    </row>
    <row r="206" spans="1:24">
      <c r="A206" s="437"/>
      <c r="B206" s="437"/>
      <c r="C206" s="437"/>
      <c r="D206" s="437"/>
      <c r="E206" s="437"/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  <c r="V206" s="437"/>
      <c r="W206" s="437"/>
      <c r="X206" s="437"/>
    </row>
    <row r="207" spans="1:24">
      <c r="A207" s="437"/>
      <c r="B207" s="437"/>
      <c r="C207" s="437"/>
      <c r="D207" s="437"/>
      <c r="E207" s="437"/>
      <c r="F207" s="437"/>
      <c r="G207" s="437"/>
      <c r="H207" s="437"/>
      <c r="I207" s="437"/>
      <c r="J207" s="437"/>
      <c r="K207" s="437"/>
      <c r="L207" s="437"/>
      <c r="M207" s="437"/>
      <c r="N207" s="437"/>
      <c r="O207" s="437"/>
      <c r="P207" s="437"/>
      <c r="Q207" s="437"/>
      <c r="R207" s="437"/>
      <c r="S207" s="437"/>
      <c r="T207" s="437"/>
      <c r="U207" s="437"/>
      <c r="V207" s="437"/>
      <c r="W207" s="437"/>
      <c r="X207" s="437"/>
    </row>
    <row r="208" spans="1:24">
      <c r="A208" s="437"/>
      <c r="B208" s="437"/>
      <c r="C208" s="437"/>
      <c r="D208" s="437"/>
      <c r="E208" s="437"/>
      <c r="F208" s="437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7"/>
      <c r="R208" s="437"/>
      <c r="S208" s="437"/>
      <c r="T208" s="437"/>
      <c r="U208" s="437"/>
      <c r="V208" s="437"/>
      <c r="W208" s="437"/>
      <c r="X208" s="437"/>
    </row>
    <row r="209" spans="1:24">
      <c r="A209" s="437"/>
      <c r="B209" s="437"/>
      <c r="C209" s="437"/>
      <c r="D209" s="437"/>
      <c r="E209" s="437"/>
      <c r="F209" s="437"/>
      <c r="G209" s="437"/>
      <c r="H209" s="437"/>
      <c r="I209" s="437"/>
      <c r="J209" s="437"/>
      <c r="K209" s="437"/>
      <c r="L209" s="437"/>
      <c r="M209" s="437"/>
      <c r="N209" s="437"/>
      <c r="O209" s="437"/>
      <c r="P209" s="437"/>
      <c r="Q209" s="437"/>
      <c r="R209" s="437"/>
      <c r="S209" s="437"/>
      <c r="T209" s="437"/>
      <c r="U209" s="437"/>
      <c r="V209" s="437"/>
      <c r="W209" s="437"/>
      <c r="X209" s="437"/>
    </row>
    <row r="210" spans="1:24">
      <c r="A210" s="437"/>
      <c r="B210" s="437"/>
      <c r="C210" s="437"/>
      <c r="D210" s="437"/>
      <c r="E210" s="437"/>
      <c r="F210" s="437"/>
      <c r="G210" s="437"/>
      <c r="H210" s="437"/>
      <c r="I210" s="437"/>
      <c r="J210" s="437"/>
      <c r="K210" s="437"/>
      <c r="L210" s="437"/>
      <c r="M210" s="437"/>
      <c r="N210" s="437"/>
      <c r="O210" s="437"/>
      <c r="P210" s="437"/>
      <c r="Q210" s="437"/>
      <c r="R210" s="437"/>
      <c r="S210" s="437"/>
      <c r="T210" s="437"/>
      <c r="U210" s="437"/>
      <c r="V210" s="437"/>
      <c r="W210" s="437"/>
      <c r="X210" s="437"/>
    </row>
    <row r="211" spans="1:24">
      <c r="A211" s="437"/>
      <c r="B211" s="437"/>
      <c r="C211" s="437"/>
      <c r="D211" s="437"/>
      <c r="E211" s="437"/>
      <c r="F211" s="437"/>
      <c r="G211" s="437"/>
      <c r="H211" s="437"/>
      <c r="I211" s="437"/>
      <c r="J211" s="437"/>
      <c r="K211" s="437"/>
      <c r="L211" s="437"/>
      <c r="M211" s="437"/>
      <c r="N211" s="437"/>
      <c r="O211" s="437"/>
      <c r="P211" s="437"/>
      <c r="Q211" s="437"/>
      <c r="R211" s="437"/>
      <c r="S211" s="437"/>
      <c r="T211" s="437"/>
      <c r="U211" s="437"/>
      <c r="V211" s="437"/>
      <c r="W211" s="437"/>
      <c r="X211" s="437"/>
    </row>
    <row r="212" spans="1:24">
      <c r="A212" s="437"/>
      <c r="B212" s="437"/>
      <c r="C212" s="437"/>
      <c r="D212" s="437"/>
      <c r="E212" s="437"/>
      <c r="F212" s="437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</row>
    <row r="213" spans="1:24">
      <c r="A213" s="437"/>
      <c r="B213" s="437"/>
      <c r="C213" s="437"/>
      <c r="D213" s="437"/>
      <c r="E213" s="437"/>
      <c r="F213" s="437"/>
      <c r="G213" s="437"/>
      <c r="H213" s="437"/>
      <c r="I213" s="437"/>
      <c r="J213" s="437"/>
      <c r="K213" s="437"/>
      <c r="L213" s="437"/>
      <c r="M213" s="437"/>
      <c r="N213" s="437"/>
      <c r="O213" s="437"/>
      <c r="P213" s="437"/>
      <c r="Q213" s="437"/>
      <c r="R213" s="437"/>
      <c r="S213" s="437"/>
      <c r="T213" s="437"/>
      <c r="U213" s="437"/>
      <c r="V213" s="437"/>
      <c r="W213" s="437"/>
      <c r="X213" s="437"/>
    </row>
    <row r="214" spans="1:24">
      <c r="A214" s="437"/>
      <c r="B214" s="437"/>
      <c r="C214" s="437"/>
      <c r="D214" s="437"/>
      <c r="E214" s="437"/>
      <c r="F214" s="437"/>
      <c r="G214" s="437"/>
      <c r="H214" s="437"/>
      <c r="I214" s="437"/>
      <c r="J214" s="437"/>
      <c r="K214" s="437"/>
      <c r="L214" s="437"/>
      <c r="M214" s="437"/>
      <c r="N214" s="437"/>
      <c r="O214" s="437"/>
      <c r="P214" s="437"/>
      <c r="Q214" s="437"/>
      <c r="R214" s="437"/>
      <c r="S214" s="437"/>
      <c r="T214" s="437"/>
      <c r="U214" s="437"/>
      <c r="V214" s="437"/>
      <c r="W214" s="437"/>
      <c r="X214" s="437"/>
    </row>
    <row r="215" spans="1:24">
      <c r="A215" s="437"/>
      <c r="B215" s="437"/>
      <c r="C215" s="437"/>
      <c r="D215" s="437"/>
      <c r="E215" s="437"/>
      <c r="F215" s="437"/>
      <c r="G215" s="437"/>
      <c r="H215" s="437"/>
      <c r="I215" s="437"/>
      <c r="J215" s="437"/>
      <c r="K215" s="437"/>
      <c r="L215" s="437"/>
      <c r="M215" s="437"/>
      <c r="N215" s="437"/>
      <c r="O215" s="437"/>
      <c r="P215" s="437"/>
      <c r="Q215" s="437"/>
      <c r="R215" s="437"/>
      <c r="S215" s="437"/>
      <c r="T215" s="437"/>
      <c r="U215" s="437"/>
      <c r="V215" s="437"/>
      <c r="W215" s="437"/>
      <c r="X215" s="437"/>
    </row>
    <row r="216" spans="1:24">
      <c r="A216" s="437"/>
      <c r="B216" s="437"/>
      <c r="C216" s="437"/>
      <c r="D216" s="437"/>
      <c r="E216" s="437"/>
      <c r="F216" s="437"/>
      <c r="G216" s="437"/>
      <c r="H216" s="437"/>
      <c r="I216" s="437"/>
      <c r="J216" s="437"/>
      <c r="K216" s="437"/>
      <c r="L216" s="437"/>
      <c r="M216" s="437"/>
      <c r="N216" s="437"/>
      <c r="O216" s="437"/>
      <c r="P216" s="437"/>
      <c r="Q216" s="437"/>
      <c r="R216" s="437"/>
      <c r="S216" s="437"/>
      <c r="T216" s="437"/>
      <c r="U216" s="437"/>
      <c r="V216" s="437"/>
      <c r="W216" s="437"/>
      <c r="X216" s="437"/>
    </row>
    <row r="217" spans="1:24">
      <c r="A217" s="437"/>
      <c r="B217" s="437"/>
      <c r="C217" s="437"/>
      <c r="D217" s="437"/>
      <c r="E217" s="437"/>
      <c r="F217" s="437"/>
      <c r="G217" s="437"/>
      <c r="H217" s="437"/>
      <c r="I217" s="437"/>
      <c r="J217" s="437"/>
      <c r="K217" s="437"/>
      <c r="L217" s="437"/>
      <c r="M217" s="437"/>
      <c r="N217" s="437"/>
      <c r="O217" s="437"/>
      <c r="P217" s="437"/>
      <c r="Q217" s="437"/>
      <c r="R217" s="437"/>
      <c r="S217" s="437"/>
      <c r="T217" s="437"/>
      <c r="U217" s="437"/>
      <c r="V217" s="437"/>
      <c r="W217" s="437"/>
      <c r="X217" s="437"/>
    </row>
    <row r="218" spans="1:24">
      <c r="A218" s="437"/>
      <c r="B218" s="437"/>
      <c r="C218" s="437"/>
      <c r="D218" s="437"/>
      <c r="E218" s="437"/>
      <c r="F218" s="437"/>
      <c r="G218" s="437"/>
      <c r="H218" s="437"/>
      <c r="I218" s="437"/>
      <c r="J218" s="437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</row>
    <row r="219" spans="1:24">
      <c r="A219" s="437"/>
      <c r="B219" s="437"/>
      <c r="C219" s="437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</row>
    <row r="220" spans="1:24">
      <c r="A220" s="437"/>
      <c r="B220" s="437"/>
      <c r="C220" s="437"/>
      <c r="D220" s="437"/>
      <c r="E220" s="437"/>
      <c r="F220" s="437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  <c r="V220" s="437"/>
      <c r="W220" s="437"/>
      <c r="X220" s="437"/>
    </row>
    <row r="221" spans="1:24">
      <c r="A221" s="437"/>
      <c r="B221" s="437"/>
      <c r="C221" s="437"/>
      <c r="D221" s="437"/>
      <c r="E221" s="437"/>
      <c r="F221" s="437"/>
      <c r="G221" s="437"/>
      <c r="H221" s="437"/>
      <c r="I221" s="437"/>
      <c r="J221" s="437"/>
      <c r="K221" s="437"/>
      <c r="L221" s="437"/>
      <c r="M221" s="437"/>
      <c r="N221" s="437"/>
      <c r="O221" s="437"/>
      <c r="P221" s="437"/>
      <c r="Q221" s="437"/>
      <c r="R221" s="437"/>
      <c r="S221" s="437"/>
      <c r="T221" s="437"/>
      <c r="U221" s="437"/>
      <c r="V221" s="437"/>
      <c r="W221" s="437"/>
      <c r="X221" s="437"/>
    </row>
    <row r="222" spans="1:24">
      <c r="A222" s="437"/>
      <c r="B222" s="437"/>
      <c r="C222" s="437"/>
      <c r="D222" s="437"/>
      <c r="E222" s="437"/>
      <c r="F222" s="437"/>
      <c r="G222" s="437"/>
      <c r="H222" s="437"/>
      <c r="I222" s="437"/>
      <c r="J222" s="437"/>
      <c r="K222" s="437"/>
      <c r="L222" s="437"/>
      <c r="M222" s="437"/>
      <c r="N222" s="437"/>
      <c r="O222" s="437"/>
      <c r="P222" s="437"/>
      <c r="Q222" s="437"/>
      <c r="R222" s="437"/>
      <c r="S222" s="437"/>
      <c r="T222" s="437"/>
      <c r="U222" s="437"/>
      <c r="V222" s="437"/>
      <c r="W222" s="437"/>
      <c r="X222" s="437"/>
    </row>
    <row r="223" spans="1:24">
      <c r="A223" s="437"/>
      <c r="B223" s="437"/>
      <c r="C223" s="437"/>
      <c r="D223" s="437"/>
      <c r="E223" s="437"/>
      <c r="F223" s="437"/>
      <c r="G223" s="437"/>
      <c r="H223" s="437"/>
      <c r="I223" s="437"/>
      <c r="J223" s="437"/>
      <c r="K223" s="437"/>
      <c r="L223" s="437"/>
      <c r="M223" s="437"/>
      <c r="N223" s="437"/>
      <c r="O223" s="437"/>
      <c r="P223" s="437"/>
      <c r="Q223" s="437"/>
      <c r="R223" s="437"/>
      <c r="S223" s="437"/>
      <c r="T223" s="437"/>
      <c r="U223" s="437"/>
      <c r="V223" s="437"/>
      <c r="W223" s="437"/>
      <c r="X223" s="437"/>
    </row>
    <row r="224" spans="1:24">
      <c r="A224" s="437"/>
      <c r="B224" s="437"/>
      <c r="C224" s="437"/>
      <c r="D224" s="437"/>
      <c r="E224" s="437"/>
      <c r="F224" s="437"/>
      <c r="G224" s="437"/>
      <c r="H224" s="437"/>
      <c r="I224" s="437"/>
      <c r="J224" s="437"/>
      <c r="K224" s="437"/>
      <c r="L224" s="437"/>
      <c r="M224" s="437"/>
      <c r="N224" s="437"/>
      <c r="O224" s="437"/>
      <c r="P224" s="437"/>
      <c r="Q224" s="437"/>
      <c r="R224" s="437"/>
      <c r="S224" s="437"/>
      <c r="T224" s="437"/>
      <c r="U224" s="437"/>
      <c r="V224" s="437"/>
      <c r="W224" s="437"/>
      <c r="X224" s="437"/>
    </row>
    <row r="225" spans="1:24">
      <c r="A225" s="437"/>
      <c r="B225" s="437"/>
      <c r="C225" s="437"/>
      <c r="D225" s="437"/>
      <c r="E225" s="437"/>
      <c r="F225" s="437"/>
      <c r="G225" s="437"/>
      <c r="H225" s="437"/>
      <c r="I225" s="437"/>
      <c r="J225" s="437"/>
      <c r="K225" s="437"/>
      <c r="L225" s="437"/>
      <c r="M225" s="437"/>
      <c r="N225" s="437"/>
      <c r="O225" s="437"/>
      <c r="P225" s="437"/>
      <c r="Q225" s="437"/>
      <c r="R225" s="437"/>
      <c r="S225" s="437"/>
      <c r="T225" s="437"/>
      <c r="U225" s="437"/>
      <c r="V225" s="437"/>
      <c r="W225" s="437"/>
      <c r="X225" s="437"/>
    </row>
    <row r="226" spans="1:24">
      <c r="A226" s="437"/>
      <c r="B226" s="437"/>
      <c r="C226" s="437"/>
      <c r="D226" s="437"/>
      <c r="E226" s="437"/>
      <c r="F226" s="437"/>
      <c r="G226" s="437"/>
      <c r="H226" s="437"/>
      <c r="I226" s="437"/>
      <c r="J226" s="437"/>
      <c r="K226" s="437"/>
      <c r="L226" s="437"/>
      <c r="M226" s="437"/>
      <c r="N226" s="437"/>
      <c r="O226" s="437"/>
      <c r="P226" s="437"/>
      <c r="Q226" s="437"/>
      <c r="R226" s="437"/>
      <c r="S226" s="437"/>
      <c r="T226" s="437"/>
      <c r="U226" s="437"/>
      <c r="V226" s="437"/>
      <c r="W226" s="437"/>
      <c r="X226" s="437"/>
    </row>
    <row r="227" spans="1:24">
      <c r="A227" s="437"/>
      <c r="B227" s="437"/>
      <c r="C227" s="437"/>
      <c r="D227" s="437"/>
      <c r="E227" s="437"/>
      <c r="F227" s="437"/>
      <c r="G227" s="437"/>
      <c r="H227" s="437"/>
      <c r="I227" s="437"/>
      <c r="J227" s="437"/>
      <c r="K227" s="437"/>
      <c r="L227" s="437"/>
      <c r="M227" s="437"/>
      <c r="N227" s="437"/>
      <c r="O227" s="437"/>
      <c r="P227" s="437"/>
      <c r="Q227" s="437"/>
      <c r="R227" s="437"/>
      <c r="S227" s="437"/>
      <c r="T227" s="437"/>
      <c r="U227" s="437"/>
      <c r="V227" s="437"/>
      <c r="W227" s="437"/>
      <c r="X227" s="437"/>
    </row>
    <row r="228" spans="1:24">
      <c r="A228" s="437"/>
      <c r="B228" s="437"/>
      <c r="C228" s="437"/>
      <c r="D228" s="437"/>
      <c r="E228" s="437"/>
      <c r="F228" s="437"/>
      <c r="G228" s="437"/>
      <c r="H228" s="437"/>
      <c r="I228" s="437"/>
      <c r="J228" s="437"/>
      <c r="K228" s="437"/>
      <c r="L228" s="437"/>
      <c r="M228" s="437"/>
      <c r="N228" s="437"/>
      <c r="O228" s="437"/>
      <c r="P228" s="437"/>
      <c r="Q228" s="437"/>
      <c r="R228" s="437"/>
      <c r="S228" s="437"/>
      <c r="T228" s="437"/>
      <c r="U228" s="437"/>
      <c r="V228" s="437"/>
      <c r="W228" s="437"/>
      <c r="X228" s="437"/>
    </row>
    <row r="229" spans="1:24">
      <c r="A229" s="437"/>
      <c r="B229" s="437"/>
      <c r="C229" s="437"/>
      <c r="D229" s="437"/>
      <c r="E229" s="437"/>
      <c r="F229" s="437"/>
      <c r="G229" s="437"/>
      <c r="H229" s="437"/>
      <c r="I229" s="437"/>
      <c r="J229" s="437"/>
      <c r="K229" s="437"/>
      <c r="L229" s="437"/>
      <c r="M229" s="437"/>
      <c r="N229" s="437"/>
      <c r="O229" s="437"/>
      <c r="P229" s="437"/>
      <c r="Q229" s="437"/>
      <c r="R229" s="437"/>
      <c r="S229" s="437"/>
      <c r="T229" s="437"/>
      <c r="U229" s="437"/>
      <c r="V229" s="437"/>
      <c r="W229" s="437"/>
      <c r="X229" s="437"/>
    </row>
    <row r="230" spans="1:24">
      <c r="A230" s="437"/>
      <c r="B230" s="437"/>
      <c r="C230" s="437"/>
      <c r="D230" s="437"/>
      <c r="E230" s="437"/>
      <c r="F230" s="437"/>
      <c r="G230" s="437"/>
      <c r="H230" s="437"/>
      <c r="I230" s="437"/>
      <c r="J230" s="437"/>
      <c r="K230" s="437"/>
      <c r="L230" s="437"/>
      <c r="M230" s="437"/>
      <c r="N230" s="437"/>
      <c r="O230" s="437"/>
      <c r="P230" s="437"/>
      <c r="Q230" s="437"/>
      <c r="R230" s="437"/>
      <c r="S230" s="437"/>
      <c r="T230" s="437"/>
      <c r="U230" s="437"/>
      <c r="V230" s="437"/>
      <c r="W230" s="437"/>
      <c r="X230" s="437"/>
    </row>
    <row r="231" spans="1:24">
      <c r="A231" s="437"/>
      <c r="B231" s="437"/>
      <c r="C231" s="437"/>
      <c r="D231" s="437"/>
      <c r="E231" s="437"/>
      <c r="F231" s="437"/>
      <c r="G231" s="437"/>
      <c r="H231" s="437"/>
      <c r="I231" s="437"/>
      <c r="J231" s="437"/>
      <c r="K231" s="437"/>
      <c r="L231" s="437"/>
      <c r="M231" s="437"/>
      <c r="N231" s="437"/>
      <c r="O231" s="437"/>
      <c r="P231" s="437"/>
      <c r="Q231" s="437"/>
      <c r="R231" s="437"/>
      <c r="S231" s="437"/>
      <c r="T231" s="437"/>
      <c r="U231" s="437"/>
      <c r="V231" s="437"/>
      <c r="W231" s="437"/>
      <c r="X231" s="437"/>
    </row>
    <row r="232" spans="1:24">
      <c r="A232" s="437"/>
      <c r="B232" s="437"/>
      <c r="C232" s="437"/>
      <c r="D232" s="437"/>
      <c r="E232" s="437"/>
      <c r="F232" s="437"/>
      <c r="G232" s="437"/>
      <c r="H232" s="437"/>
      <c r="I232" s="437"/>
      <c r="J232" s="437"/>
      <c r="K232" s="437"/>
      <c r="L232" s="437"/>
      <c r="M232" s="437"/>
      <c r="N232" s="437"/>
      <c r="O232" s="437"/>
      <c r="P232" s="437"/>
      <c r="Q232" s="437"/>
      <c r="R232" s="437"/>
      <c r="S232" s="437"/>
      <c r="T232" s="437"/>
      <c r="U232" s="437"/>
      <c r="V232" s="437"/>
      <c r="W232" s="437"/>
      <c r="X232" s="437"/>
    </row>
    <row r="233" spans="1:24">
      <c r="A233" s="437"/>
      <c r="B233" s="437"/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37"/>
      <c r="U233" s="437"/>
      <c r="V233" s="437"/>
      <c r="W233" s="437"/>
      <c r="X233" s="437"/>
    </row>
    <row r="234" spans="1:24">
      <c r="A234" s="437"/>
      <c r="B234" s="437"/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37"/>
      <c r="U234" s="437"/>
      <c r="V234" s="437"/>
      <c r="W234" s="437"/>
      <c r="X234" s="437"/>
    </row>
    <row r="235" spans="1:24">
      <c r="A235" s="437"/>
      <c r="B235" s="437"/>
      <c r="C235" s="437"/>
      <c r="D235" s="437"/>
      <c r="E235" s="437"/>
      <c r="F235" s="437"/>
      <c r="G235" s="437"/>
      <c r="H235" s="437"/>
      <c r="I235" s="437"/>
      <c r="J235" s="437"/>
      <c r="K235" s="437"/>
      <c r="L235" s="437"/>
      <c r="M235" s="437"/>
      <c r="N235" s="437"/>
      <c r="O235" s="437"/>
      <c r="P235" s="437"/>
      <c r="Q235" s="437"/>
      <c r="R235" s="437"/>
      <c r="S235" s="437"/>
      <c r="T235" s="437"/>
      <c r="U235" s="437"/>
      <c r="V235" s="437"/>
      <c r="W235" s="437"/>
      <c r="X235" s="437"/>
    </row>
    <row r="236" spans="1:24">
      <c r="A236" s="437"/>
      <c r="B236" s="437"/>
      <c r="C236" s="437"/>
      <c r="D236" s="437"/>
      <c r="E236" s="437"/>
      <c r="F236" s="437"/>
      <c r="G236" s="437"/>
      <c r="H236" s="437"/>
      <c r="I236" s="437"/>
      <c r="J236" s="437"/>
      <c r="K236" s="437"/>
      <c r="L236" s="437"/>
      <c r="M236" s="437"/>
      <c r="N236" s="437"/>
      <c r="O236" s="437"/>
      <c r="P236" s="437"/>
      <c r="Q236" s="437"/>
      <c r="R236" s="437"/>
      <c r="S236" s="437"/>
      <c r="T236" s="437"/>
      <c r="U236" s="437"/>
      <c r="V236" s="437"/>
      <c r="W236" s="437"/>
      <c r="X236" s="437"/>
    </row>
    <row r="237" spans="1:24">
      <c r="A237" s="437"/>
      <c r="B237" s="437"/>
      <c r="C237" s="437"/>
      <c r="D237" s="437"/>
      <c r="E237" s="437"/>
      <c r="F237" s="437"/>
      <c r="G237" s="437"/>
      <c r="H237" s="437"/>
      <c r="I237" s="437"/>
      <c r="J237" s="437"/>
      <c r="K237" s="437"/>
      <c r="L237" s="437"/>
      <c r="M237" s="437"/>
      <c r="N237" s="437"/>
      <c r="O237" s="437"/>
      <c r="P237" s="437"/>
      <c r="Q237" s="437"/>
      <c r="R237" s="437"/>
      <c r="S237" s="437"/>
      <c r="T237" s="437"/>
      <c r="U237" s="437"/>
      <c r="V237" s="437"/>
      <c r="W237" s="437"/>
      <c r="X237" s="437"/>
    </row>
    <row r="238" spans="1:24">
      <c r="A238" s="437"/>
      <c r="B238" s="437"/>
      <c r="C238" s="437"/>
      <c r="D238" s="437"/>
      <c r="E238" s="437"/>
      <c r="F238" s="437"/>
      <c r="G238" s="437"/>
      <c r="H238" s="437"/>
      <c r="I238" s="437"/>
      <c r="J238" s="437"/>
      <c r="K238" s="437"/>
      <c r="L238" s="437"/>
      <c r="M238" s="437"/>
      <c r="N238" s="437"/>
      <c r="O238" s="437"/>
      <c r="P238" s="437"/>
      <c r="Q238" s="437"/>
      <c r="R238" s="437"/>
      <c r="S238" s="437"/>
      <c r="T238" s="437"/>
      <c r="U238" s="437"/>
      <c r="V238" s="437"/>
      <c r="W238" s="437"/>
      <c r="X238" s="437"/>
    </row>
    <row r="239" spans="1:24">
      <c r="A239" s="437"/>
      <c r="B239" s="437"/>
      <c r="C239" s="437"/>
      <c r="D239" s="437"/>
      <c r="E239" s="437"/>
      <c r="F239" s="437"/>
      <c r="G239" s="437"/>
      <c r="H239" s="437"/>
      <c r="I239" s="437"/>
      <c r="J239" s="437"/>
      <c r="K239" s="437"/>
      <c r="L239" s="437"/>
      <c r="M239" s="437"/>
      <c r="N239" s="437"/>
      <c r="O239" s="437"/>
      <c r="P239" s="437"/>
      <c r="Q239" s="437"/>
      <c r="R239" s="437"/>
      <c r="S239" s="437"/>
      <c r="T239" s="437"/>
      <c r="U239" s="437"/>
      <c r="V239" s="437"/>
      <c r="W239" s="437"/>
      <c r="X239" s="437"/>
    </row>
    <row r="240" spans="1:24">
      <c r="A240" s="437"/>
      <c r="B240" s="437"/>
      <c r="C240" s="437"/>
      <c r="D240" s="437"/>
      <c r="E240" s="437"/>
      <c r="F240" s="437"/>
      <c r="G240" s="437"/>
      <c r="H240" s="437"/>
      <c r="I240" s="437"/>
      <c r="J240" s="437"/>
      <c r="K240" s="437"/>
      <c r="L240" s="437"/>
      <c r="M240" s="437"/>
      <c r="N240" s="437"/>
      <c r="O240" s="437"/>
      <c r="P240" s="437"/>
      <c r="Q240" s="437"/>
      <c r="R240" s="437"/>
      <c r="S240" s="437"/>
      <c r="T240" s="437"/>
      <c r="U240" s="437"/>
      <c r="V240" s="437"/>
      <c r="W240" s="437"/>
      <c r="X240" s="437"/>
    </row>
    <row r="241" spans="1:24">
      <c r="A241" s="437"/>
      <c r="B241" s="437"/>
      <c r="C241" s="437"/>
      <c r="D241" s="437"/>
      <c r="E241" s="437"/>
      <c r="F241" s="437"/>
      <c r="G241" s="437"/>
      <c r="H241" s="437"/>
      <c r="I241" s="437"/>
      <c r="J241" s="437"/>
      <c r="K241" s="437"/>
      <c r="L241" s="437"/>
      <c r="M241" s="437"/>
      <c r="N241" s="437"/>
      <c r="O241" s="437"/>
      <c r="P241" s="437"/>
      <c r="Q241" s="437"/>
      <c r="R241" s="437"/>
      <c r="S241" s="437"/>
      <c r="T241" s="437"/>
      <c r="U241" s="437"/>
      <c r="V241" s="437"/>
      <c r="W241" s="437"/>
      <c r="X241" s="437"/>
    </row>
    <row r="242" spans="1:24">
      <c r="A242" s="437"/>
      <c r="B242" s="437"/>
      <c r="C242" s="437"/>
      <c r="D242" s="437"/>
      <c r="E242" s="437"/>
      <c r="F242" s="437"/>
      <c r="G242" s="437"/>
      <c r="H242" s="437"/>
      <c r="I242" s="437"/>
      <c r="J242" s="437"/>
      <c r="K242" s="437"/>
      <c r="L242" s="437"/>
      <c r="M242" s="437"/>
      <c r="N242" s="437"/>
      <c r="O242" s="437"/>
      <c r="P242" s="437"/>
      <c r="Q242" s="437"/>
      <c r="R242" s="437"/>
      <c r="S242" s="437"/>
      <c r="T242" s="437"/>
      <c r="U242" s="437"/>
      <c r="V242" s="437"/>
      <c r="W242" s="437"/>
      <c r="X242" s="437"/>
    </row>
    <row r="243" spans="1:24">
      <c r="A243" s="437"/>
      <c r="B243" s="437"/>
      <c r="C243" s="437"/>
      <c r="D243" s="437"/>
      <c r="E243" s="437"/>
      <c r="F243" s="437"/>
      <c r="G243" s="437"/>
      <c r="H243" s="437"/>
      <c r="I243" s="437"/>
      <c r="J243" s="437"/>
      <c r="K243" s="437"/>
      <c r="L243" s="437"/>
      <c r="M243" s="437"/>
      <c r="N243" s="437"/>
      <c r="O243" s="437"/>
      <c r="P243" s="437"/>
      <c r="Q243" s="437"/>
      <c r="R243" s="437"/>
      <c r="S243" s="437"/>
      <c r="T243" s="437"/>
      <c r="U243" s="437"/>
      <c r="V243" s="437"/>
      <c r="W243" s="437"/>
      <c r="X243" s="437"/>
    </row>
    <row r="244" spans="1:24">
      <c r="A244" s="437"/>
      <c r="B244" s="437"/>
      <c r="C244" s="437"/>
      <c r="D244" s="437"/>
      <c r="E244" s="437"/>
      <c r="F244" s="437"/>
      <c r="G244" s="437"/>
      <c r="H244" s="437"/>
      <c r="I244" s="437"/>
      <c r="J244" s="437"/>
      <c r="K244" s="437"/>
      <c r="L244" s="437"/>
      <c r="M244" s="437"/>
      <c r="N244" s="437"/>
      <c r="O244" s="437"/>
      <c r="P244" s="437"/>
      <c r="Q244" s="437"/>
      <c r="R244" s="437"/>
      <c r="S244" s="437"/>
      <c r="T244" s="437"/>
      <c r="U244" s="437"/>
      <c r="V244" s="437"/>
      <c r="W244" s="437"/>
      <c r="X244" s="437"/>
    </row>
    <row r="245" spans="1:24">
      <c r="A245" s="437"/>
      <c r="B245" s="437"/>
      <c r="C245" s="437"/>
      <c r="D245" s="437"/>
      <c r="E245" s="437"/>
      <c r="F245" s="437"/>
      <c r="G245" s="437"/>
      <c r="H245" s="437"/>
      <c r="I245" s="437"/>
      <c r="J245" s="437"/>
      <c r="K245" s="437"/>
      <c r="L245" s="437"/>
      <c r="M245" s="437"/>
      <c r="N245" s="437"/>
      <c r="O245" s="437"/>
      <c r="P245" s="437"/>
      <c r="Q245" s="437"/>
      <c r="R245" s="437"/>
      <c r="S245" s="437"/>
      <c r="T245" s="437"/>
      <c r="U245" s="437"/>
      <c r="V245" s="437"/>
      <c r="W245" s="437"/>
      <c r="X245" s="437"/>
    </row>
    <row r="246" spans="1:24">
      <c r="A246" s="437"/>
      <c r="B246" s="437"/>
      <c r="C246" s="437"/>
      <c r="D246" s="437"/>
      <c r="E246" s="437"/>
      <c r="F246" s="437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37"/>
      <c r="U246" s="437"/>
      <c r="V246" s="437"/>
      <c r="W246" s="437"/>
      <c r="X246" s="437"/>
    </row>
    <row r="247" spans="1:24">
      <c r="A247" s="437"/>
      <c r="B247" s="437"/>
      <c r="C247" s="437"/>
      <c r="D247" s="437"/>
      <c r="E247" s="437"/>
      <c r="F247" s="437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37"/>
      <c r="U247" s="437"/>
      <c r="V247" s="437"/>
      <c r="W247" s="437"/>
      <c r="X247" s="437"/>
    </row>
    <row r="248" spans="1:24">
      <c r="A248" s="437"/>
      <c r="B248" s="437"/>
      <c r="C248" s="437"/>
      <c r="D248" s="437"/>
      <c r="E248" s="437"/>
      <c r="F248" s="437"/>
      <c r="G248" s="437"/>
      <c r="H248" s="437"/>
      <c r="I248" s="437"/>
      <c r="J248" s="437"/>
      <c r="K248" s="437"/>
      <c r="L248" s="437"/>
      <c r="M248" s="437"/>
      <c r="N248" s="437"/>
      <c r="O248" s="437"/>
      <c r="P248" s="437"/>
      <c r="Q248" s="437"/>
      <c r="R248" s="437"/>
      <c r="S248" s="437"/>
      <c r="T248" s="437"/>
      <c r="U248" s="437"/>
      <c r="V248" s="437"/>
      <c r="W248" s="437"/>
      <c r="X248" s="437"/>
    </row>
    <row r="249" spans="1:24">
      <c r="A249" s="437"/>
      <c r="B249" s="437"/>
      <c r="C249" s="437"/>
      <c r="D249" s="437"/>
      <c r="E249" s="437"/>
      <c r="F249" s="437"/>
      <c r="G249" s="437"/>
      <c r="H249" s="437"/>
      <c r="I249" s="437"/>
      <c r="J249" s="437"/>
      <c r="K249" s="437"/>
      <c r="L249" s="437"/>
      <c r="M249" s="437"/>
      <c r="N249" s="437"/>
      <c r="O249" s="437"/>
      <c r="P249" s="437"/>
      <c r="Q249" s="437"/>
      <c r="R249" s="437"/>
      <c r="S249" s="437"/>
      <c r="T249" s="437"/>
      <c r="U249" s="437"/>
      <c r="V249" s="437"/>
      <c r="W249" s="437"/>
      <c r="X249" s="437"/>
    </row>
    <row r="250" spans="1:24">
      <c r="A250" s="437"/>
      <c r="B250" s="437"/>
      <c r="C250" s="437"/>
      <c r="D250" s="437"/>
      <c r="E250" s="437"/>
      <c r="F250" s="437"/>
      <c r="G250" s="437"/>
      <c r="H250" s="437"/>
      <c r="I250" s="437"/>
      <c r="J250" s="437"/>
      <c r="K250" s="437"/>
      <c r="L250" s="437"/>
      <c r="M250" s="437"/>
      <c r="N250" s="437"/>
      <c r="O250" s="437"/>
      <c r="P250" s="437"/>
      <c r="Q250" s="437"/>
      <c r="R250" s="437"/>
      <c r="S250" s="437"/>
      <c r="T250" s="437"/>
      <c r="U250" s="437"/>
      <c r="V250" s="437"/>
      <c r="W250" s="437"/>
      <c r="X250" s="437"/>
    </row>
    <row r="251" spans="1:24">
      <c r="A251" s="437"/>
      <c r="B251" s="437"/>
      <c r="C251" s="437"/>
      <c r="D251" s="437"/>
      <c r="E251" s="437"/>
      <c r="F251" s="437"/>
      <c r="G251" s="437"/>
      <c r="H251" s="437"/>
      <c r="I251" s="437"/>
      <c r="J251" s="437"/>
      <c r="K251" s="437"/>
      <c r="L251" s="437"/>
      <c r="M251" s="437"/>
      <c r="N251" s="437"/>
      <c r="O251" s="437"/>
      <c r="P251" s="437"/>
      <c r="Q251" s="437"/>
      <c r="R251" s="437"/>
      <c r="S251" s="437"/>
      <c r="T251" s="437"/>
      <c r="U251" s="437"/>
      <c r="V251" s="437"/>
      <c r="W251" s="437"/>
      <c r="X251" s="437"/>
    </row>
    <row r="252" spans="1:24">
      <c r="A252" s="437"/>
      <c r="B252" s="437"/>
      <c r="C252" s="437"/>
      <c r="D252" s="437"/>
      <c r="E252" s="437"/>
      <c r="F252" s="437"/>
      <c r="G252" s="437"/>
      <c r="H252" s="437"/>
      <c r="I252" s="437"/>
      <c r="J252" s="437"/>
      <c r="K252" s="437"/>
      <c r="L252" s="437"/>
      <c r="M252" s="437"/>
      <c r="N252" s="437"/>
      <c r="O252" s="437"/>
      <c r="P252" s="437"/>
      <c r="Q252" s="437"/>
      <c r="R252" s="437"/>
      <c r="S252" s="437"/>
      <c r="T252" s="437"/>
      <c r="U252" s="437"/>
      <c r="V252" s="437"/>
      <c r="W252" s="437"/>
      <c r="X252" s="437"/>
    </row>
    <row r="253" spans="1:24">
      <c r="A253" s="437"/>
      <c r="B253" s="437"/>
      <c r="C253" s="437"/>
      <c r="D253" s="437"/>
      <c r="E253" s="437"/>
      <c r="F253" s="437"/>
      <c r="G253" s="437"/>
      <c r="H253" s="437"/>
      <c r="I253" s="437"/>
      <c r="J253" s="437"/>
      <c r="K253" s="437"/>
      <c r="L253" s="437"/>
      <c r="M253" s="437"/>
      <c r="N253" s="437"/>
      <c r="O253" s="437"/>
      <c r="P253" s="437"/>
      <c r="Q253" s="437"/>
      <c r="R253" s="437"/>
      <c r="S253" s="437"/>
      <c r="T253" s="437"/>
      <c r="U253" s="437"/>
      <c r="V253" s="437"/>
      <c r="W253" s="437"/>
      <c r="X253" s="437"/>
    </row>
    <row r="254" spans="1:24">
      <c r="A254" s="437"/>
      <c r="B254" s="437"/>
      <c r="C254" s="437"/>
      <c r="D254" s="437"/>
      <c r="E254" s="437"/>
      <c r="F254" s="437"/>
      <c r="G254" s="437"/>
      <c r="H254" s="437"/>
      <c r="I254" s="437"/>
      <c r="J254" s="437"/>
      <c r="K254" s="437"/>
      <c r="L254" s="437"/>
      <c r="M254" s="437"/>
      <c r="N254" s="437"/>
      <c r="O254" s="437"/>
      <c r="P254" s="437"/>
      <c r="Q254" s="437"/>
      <c r="R254" s="437"/>
      <c r="S254" s="437"/>
      <c r="T254" s="437"/>
      <c r="U254" s="437"/>
      <c r="V254" s="437"/>
      <c r="W254" s="437"/>
      <c r="X254" s="437"/>
    </row>
    <row r="255" spans="1:24">
      <c r="A255" s="437"/>
      <c r="B255" s="437"/>
      <c r="C255" s="437"/>
      <c r="D255" s="437"/>
      <c r="E255" s="437"/>
      <c r="F255" s="437"/>
      <c r="G255" s="437"/>
      <c r="H255" s="437"/>
      <c r="I255" s="437"/>
      <c r="J255" s="437"/>
      <c r="K255" s="437"/>
      <c r="L255" s="437"/>
      <c r="M255" s="437"/>
      <c r="N255" s="437"/>
      <c r="O255" s="437"/>
      <c r="P255" s="437"/>
      <c r="Q255" s="437"/>
      <c r="R255" s="437"/>
      <c r="S255" s="437"/>
      <c r="T255" s="437"/>
      <c r="U255" s="437"/>
      <c r="V255" s="437"/>
      <c r="W255" s="437"/>
      <c r="X255" s="437"/>
    </row>
    <row r="256" spans="1:24">
      <c r="A256" s="437"/>
      <c r="B256" s="437"/>
      <c r="C256" s="437"/>
      <c r="D256" s="437"/>
      <c r="E256" s="437"/>
      <c r="F256" s="437"/>
      <c r="G256" s="437"/>
      <c r="H256" s="437"/>
      <c r="I256" s="437"/>
      <c r="J256" s="437"/>
      <c r="K256" s="437"/>
      <c r="L256" s="437"/>
      <c r="M256" s="437"/>
      <c r="N256" s="437"/>
      <c r="O256" s="437"/>
      <c r="P256" s="437"/>
      <c r="Q256" s="437"/>
      <c r="R256" s="437"/>
      <c r="S256" s="437"/>
      <c r="T256" s="437"/>
      <c r="U256" s="437"/>
      <c r="V256" s="437"/>
      <c r="W256" s="437"/>
      <c r="X256" s="437"/>
    </row>
    <row r="257" spans="1:24">
      <c r="A257" s="437"/>
      <c r="B257" s="437"/>
      <c r="C257" s="437"/>
      <c r="D257" s="437"/>
      <c r="E257" s="437"/>
      <c r="F257" s="437"/>
      <c r="G257" s="437"/>
      <c r="H257" s="437"/>
      <c r="I257" s="437"/>
      <c r="J257" s="437"/>
      <c r="K257" s="437"/>
      <c r="L257" s="437"/>
      <c r="M257" s="437"/>
      <c r="N257" s="437"/>
      <c r="O257" s="437"/>
      <c r="P257" s="437"/>
      <c r="Q257" s="437"/>
      <c r="R257" s="437"/>
      <c r="S257" s="437"/>
      <c r="T257" s="437"/>
      <c r="U257" s="437"/>
      <c r="V257" s="437"/>
      <c r="W257" s="437"/>
      <c r="X257" s="437"/>
    </row>
    <row r="258" spans="1:24">
      <c r="A258" s="437"/>
      <c r="B258" s="437"/>
      <c r="C258" s="437"/>
      <c r="D258" s="437"/>
      <c r="E258" s="437"/>
      <c r="F258" s="437"/>
      <c r="G258" s="437"/>
      <c r="H258" s="437"/>
      <c r="I258" s="437"/>
      <c r="J258" s="437"/>
      <c r="K258" s="437"/>
      <c r="L258" s="437"/>
      <c r="M258" s="437"/>
      <c r="N258" s="437"/>
      <c r="O258" s="437"/>
      <c r="P258" s="437"/>
      <c r="Q258" s="437"/>
      <c r="R258" s="437"/>
      <c r="S258" s="437"/>
      <c r="T258" s="437"/>
      <c r="U258" s="437"/>
      <c r="V258" s="437"/>
      <c r="W258" s="437"/>
      <c r="X258" s="437"/>
    </row>
    <row r="259" spans="1:24">
      <c r="A259" s="437"/>
      <c r="B259" s="437"/>
      <c r="C259" s="437"/>
      <c r="D259" s="437"/>
      <c r="E259" s="437"/>
      <c r="F259" s="437"/>
      <c r="G259" s="437"/>
      <c r="H259" s="437"/>
      <c r="I259" s="437"/>
      <c r="J259" s="437"/>
      <c r="K259" s="437"/>
      <c r="L259" s="437"/>
      <c r="M259" s="437"/>
      <c r="N259" s="437"/>
      <c r="O259" s="437"/>
      <c r="P259" s="437"/>
      <c r="Q259" s="437"/>
      <c r="R259" s="437"/>
      <c r="S259" s="437"/>
      <c r="T259" s="437"/>
      <c r="U259" s="437"/>
      <c r="V259" s="437"/>
      <c r="W259" s="437"/>
      <c r="X259" s="437"/>
    </row>
    <row r="260" spans="1:24">
      <c r="A260" s="437"/>
      <c r="B260" s="437"/>
      <c r="C260" s="437"/>
      <c r="D260" s="437"/>
      <c r="E260" s="437"/>
      <c r="F260" s="437"/>
      <c r="G260" s="437"/>
      <c r="H260" s="437"/>
      <c r="I260" s="437"/>
      <c r="J260" s="437"/>
      <c r="K260" s="437"/>
      <c r="L260" s="437"/>
      <c r="M260" s="437"/>
      <c r="N260" s="437"/>
      <c r="O260" s="437"/>
      <c r="P260" s="437"/>
      <c r="Q260" s="437"/>
      <c r="R260" s="437"/>
      <c r="S260" s="437"/>
      <c r="T260" s="437"/>
      <c r="U260" s="437"/>
      <c r="V260" s="437"/>
      <c r="W260" s="437"/>
      <c r="X260" s="437"/>
    </row>
    <row r="261" spans="1:24">
      <c r="A261" s="437"/>
      <c r="B261" s="437"/>
      <c r="C261" s="437"/>
      <c r="D261" s="437"/>
      <c r="E261" s="437"/>
      <c r="F261" s="437"/>
      <c r="G261" s="437"/>
      <c r="H261" s="437"/>
      <c r="I261" s="437"/>
      <c r="J261" s="437"/>
      <c r="K261" s="437"/>
      <c r="L261" s="437"/>
      <c r="M261" s="437"/>
      <c r="N261" s="437"/>
      <c r="O261" s="437"/>
      <c r="P261" s="437"/>
      <c r="Q261" s="437"/>
      <c r="R261" s="437"/>
      <c r="S261" s="437"/>
      <c r="T261" s="437"/>
      <c r="U261" s="437"/>
      <c r="V261" s="437"/>
      <c r="W261" s="437"/>
      <c r="X261" s="437"/>
    </row>
    <row r="262" spans="1:24">
      <c r="A262" s="437"/>
      <c r="B262" s="437"/>
      <c r="C262" s="437"/>
      <c r="D262" s="437"/>
      <c r="E262" s="437"/>
      <c r="F262" s="437"/>
      <c r="G262" s="437"/>
      <c r="H262" s="437"/>
      <c r="I262" s="437"/>
      <c r="J262" s="437"/>
      <c r="K262" s="437"/>
      <c r="L262" s="437"/>
      <c r="M262" s="437"/>
      <c r="N262" s="437"/>
      <c r="O262" s="437"/>
      <c r="P262" s="437"/>
      <c r="Q262" s="437"/>
      <c r="R262" s="437"/>
      <c r="S262" s="437"/>
      <c r="T262" s="437"/>
      <c r="U262" s="437"/>
      <c r="V262" s="437"/>
      <c r="W262" s="437"/>
      <c r="X262" s="437"/>
    </row>
    <row r="263" spans="1:24">
      <c r="A263" s="437"/>
      <c r="B263" s="437"/>
      <c r="C263" s="437"/>
      <c r="D263" s="437"/>
      <c r="E263" s="437"/>
      <c r="F263" s="437"/>
      <c r="G263" s="437"/>
      <c r="H263" s="437"/>
      <c r="I263" s="437"/>
      <c r="J263" s="437"/>
      <c r="K263" s="437"/>
      <c r="L263" s="437"/>
      <c r="M263" s="437"/>
      <c r="N263" s="437"/>
      <c r="O263" s="437"/>
      <c r="P263" s="437"/>
      <c r="Q263" s="437"/>
      <c r="R263" s="437"/>
      <c r="S263" s="437"/>
      <c r="T263" s="437"/>
      <c r="U263" s="437"/>
      <c r="V263" s="437"/>
      <c r="W263" s="437"/>
      <c r="X263" s="437"/>
    </row>
    <row r="264" spans="1:24">
      <c r="A264" s="437"/>
      <c r="B264" s="437"/>
      <c r="C264" s="437"/>
      <c r="D264" s="437"/>
      <c r="E264" s="437"/>
      <c r="F264" s="437"/>
      <c r="G264" s="437"/>
      <c r="H264" s="437"/>
      <c r="I264" s="437"/>
      <c r="J264" s="437"/>
      <c r="K264" s="437"/>
      <c r="L264" s="437"/>
      <c r="M264" s="437"/>
      <c r="N264" s="437"/>
      <c r="O264" s="437"/>
      <c r="P264" s="437"/>
      <c r="Q264" s="437"/>
      <c r="R264" s="437"/>
      <c r="S264" s="437"/>
      <c r="T264" s="437"/>
      <c r="U264" s="437"/>
      <c r="V264" s="437"/>
      <c r="W264" s="437"/>
      <c r="X264" s="437"/>
    </row>
    <row r="265" spans="1:24">
      <c r="A265" s="437"/>
      <c r="B265" s="437"/>
      <c r="C265" s="437"/>
      <c r="D265" s="437"/>
      <c r="E265" s="437"/>
      <c r="F265" s="437"/>
      <c r="G265" s="437"/>
      <c r="H265" s="437"/>
      <c r="I265" s="437"/>
      <c r="J265" s="437"/>
      <c r="K265" s="437"/>
      <c r="L265" s="437"/>
      <c r="M265" s="437"/>
      <c r="N265" s="437"/>
      <c r="O265" s="437"/>
      <c r="P265" s="437"/>
      <c r="Q265" s="437"/>
      <c r="R265" s="437"/>
      <c r="S265" s="437"/>
      <c r="T265" s="437"/>
      <c r="U265" s="437"/>
      <c r="V265" s="437"/>
      <c r="W265" s="437"/>
      <c r="X265" s="437"/>
    </row>
    <row r="266" spans="1:24">
      <c r="A266" s="437"/>
      <c r="B266" s="437"/>
      <c r="C266" s="437"/>
      <c r="D266" s="437"/>
      <c r="E266" s="437"/>
      <c r="F266" s="437"/>
      <c r="G266" s="437"/>
      <c r="H266" s="437"/>
      <c r="I266" s="437"/>
      <c r="J266" s="437"/>
      <c r="K266" s="437"/>
      <c r="L266" s="437"/>
      <c r="M266" s="437"/>
      <c r="N266" s="437"/>
      <c r="O266" s="437"/>
      <c r="P266" s="437"/>
      <c r="Q266" s="437"/>
      <c r="R266" s="437"/>
      <c r="S266" s="437"/>
      <c r="T266" s="437"/>
      <c r="U266" s="437"/>
      <c r="V266" s="437"/>
      <c r="W266" s="437"/>
      <c r="X266" s="437"/>
    </row>
    <row r="267" spans="1:24">
      <c r="A267" s="437"/>
      <c r="B267" s="437"/>
      <c r="C267" s="437"/>
      <c r="D267" s="437"/>
      <c r="E267" s="437"/>
      <c r="F267" s="437"/>
      <c r="G267" s="437"/>
      <c r="H267" s="437"/>
      <c r="I267" s="437"/>
      <c r="J267" s="437"/>
      <c r="K267" s="437"/>
      <c r="L267" s="437"/>
      <c r="M267" s="437"/>
      <c r="N267" s="437"/>
      <c r="O267" s="437"/>
      <c r="P267" s="437"/>
      <c r="Q267" s="437"/>
      <c r="R267" s="437"/>
      <c r="S267" s="437"/>
      <c r="T267" s="437"/>
      <c r="U267" s="437"/>
      <c r="V267" s="437"/>
      <c r="W267" s="437"/>
      <c r="X267" s="437"/>
    </row>
    <row r="268" spans="1:24">
      <c r="A268" s="437"/>
      <c r="B268" s="437"/>
      <c r="C268" s="437"/>
      <c r="D268" s="437"/>
      <c r="E268" s="437"/>
      <c r="F268" s="437"/>
      <c r="G268" s="437"/>
      <c r="H268" s="437"/>
      <c r="I268" s="437"/>
      <c r="J268" s="437"/>
      <c r="K268" s="437"/>
      <c r="L268" s="437"/>
      <c r="M268" s="437"/>
      <c r="N268" s="437"/>
      <c r="O268" s="437"/>
      <c r="P268" s="437"/>
      <c r="Q268" s="437"/>
      <c r="R268" s="437"/>
      <c r="S268" s="437"/>
      <c r="T268" s="437"/>
      <c r="U268" s="437"/>
      <c r="V268" s="437"/>
      <c r="W268" s="437"/>
      <c r="X268" s="437"/>
    </row>
    <row r="269" spans="1:24">
      <c r="A269" s="437"/>
      <c r="B269" s="437"/>
      <c r="C269" s="437"/>
      <c r="D269" s="437"/>
      <c r="E269" s="437"/>
      <c r="F269" s="437"/>
      <c r="G269" s="437"/>
      <c r="H269" s="437"/>
      <c r="I269" s="437"/>
      <c r="J269" s="437"/>
      <c r="K269" s="437"/>
      <c r="L269" s="437"/>
      <c r="M269" s="437"/>
      <c r="N269" s="437"/>
      <c r="O269" s="437"/>
      <c r="P269" s="437"/>
      <c r="Q269" s="437"/>
      <c r="R269" s="437"/>
      <c r="S269" s="437"/>
      <c r="T269" s="437"/>
      <c r="U269" s="437"/>
      <c r="V269" s="437"/>
      <c r="W269" s="437"/>
      <c r="X269" s="437"/>
    </row>
    <row r="270" spans="1:24">
      <c r="A270" s="437"/>
      <c r="B270" s="437"/>
      <c r="C270" s="437"/>
      <c r="D270" s="437"/>
      <c r="E270" s="437"/>
      <c r="F270" s="437"/>
      <c r="G270" s="437"/>
      <c r="H270" s="437"/>
      <c r="I270" s="437"/>
      <c r="J270" s="437"/>
      <c r="K270" s="437"/>
      <c r="L270" s="437"/>
      <c r="M270" s="437"/>
      <c r="N270" s="437"/>
      <c r="O270" s="437"/>
      <c r="P270" s="437"/>
      <c r="Q270" s="437"/>
      <c r="R270" s="437"/>
      <c r="S270" s="437"/>
      <c r="T270" s="437"/>
      <c r="U270" s="437"/>
      <c r="V270" s="437"/>
      <c r="W270" s="437"/>
      <c r="X270" s="437"/>
    </row>
    <row r="271" spans="1:24">
      <c r="A271" s="437"/>
      <c r="B271" s="437"/>
      <c r="C271" s="437"/>
      <c r="D271" s="437"/>
      <c r="E271" s="437"/>
      <c r="F271" s="437"/>
      <c r="G271" s="437"/>
      <c r="H271" s="437"/>
      <c r="I271" s="437"/>
      <c r="J271" s="437"/>
      <c r="K271" s="437"/>
      <c r="L271" s="437"/>
      <c r="M271" s="437"/>
      <c r="N271" s="437"/>
      <c r="O271" s="437"/>
      <c r="P271" s="437"/>
      <c r="Q271" s="437"/>
      <c r="R271" s="437"/>
      <c r="S271" s="437"/>
      <c r="T271" s="437"/>
      <c r="U271" s="437"/>
      <c r="V271" s="437"/>
      <c r="W271" s="437"/>
      <c r="X271" s="437"/>
    </row>
    <row r="272" spans="1:24">
      <c r="A272" s="437"/>
      <c r="B272" s="437"/>
      <c r="C272" s="437"/>
      <c r="D272" s="437"/>
      <c r="E272" s="437"/>
      <c r="F272" s="437"/>
      <c r="G272" s="437"/>
      <c r="H272" s="437"/>
      <c r="I272" s="437"/>
      <c r="J272" s="437"/>
      <c r="K272" s="437"/>
      <c r="L272" s="437"/>
      <c r="M272" s="437"/>
      <c r="N272" s="437"/>
      <c r="O272" s="437"/>
      <c r="P272" s="437"/>
      <c r="Q272" s="437"/>
      <c r="R272" s="437"/>
      <c r="S272" s="437"/>
      <c r="T272" s="437"/>
      <c r="U272" s="437"/>
      <c r="V272" s="437"/>
      <c r="W272" s="437"/>
      <c r="X272" s="4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5EC5F424DF0438C02C794499518FB" ma:contentTypeVersion="40" ma:contentTypeDescription="Create a new document." ma:contentTypeScope="" ma:versionID="129b73a13bd592285c64f20ba79428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66600da192357708df3bcce2558ab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63D7E62-3C4B-4F91-8F0F-B06063B20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8024F-C467-4B9A-A20B-18F4E7D35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2E31B-50EA-4EBB-82CA-D70A6AD564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</vt:i4>
      </vt:variant>
    </vt:vector>
  </HeadingPairs>
  <TitlesOfParts>
    <vt:vector size="17" baseType="lpstr">
      <vt:lpstr>Forudsætninger</vt:lpstr>
      <vt:lpstr>Figurer</vt:lpstr>
      <vt:lpstr>Elfosyning</vt:lpstr>
      <vt:lpstr>VE-el</vt:lpstr>
      <vt:lpstr>Fjernvarme</vt:lpstr>
      <vt:lpstr>Individuel opv.</vt:lpstr>
      <vt:lpstr>Bygas</vt:lpstr>
      <vt:lpstr>Trafik</vt:lpstr>
      <vt:lpstr>Skov</vt:lpstr>
      <vt:lpstr>Affald og spildevand</vt:lpstr>
      <vt:lpstr>Areal</vt:lpstr>
      <vt:lpstr>Kontakt</vt:lpstr>
      <vt:lpstr>Kilder</vt:lpstr>
      <vt:lpstr>Procesemissioner</vt:lpstr>
      <vt:lpstr>TIER 1</vt:lpstr>
      <vt:lpstr>'Affald og spildevand'!_Hlk321973829</vt:lpstr>
      <vt:lpstr>'Affald og spildevand'!_Hlk321977280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Sperling</dc:creator>
  <cp:lastModifiedBy>Frans la Cour</cp:lastModifiedBy>
  <cp:lastPrinted>2016-03-18T12:24:05Z</cp:lastPrinted>
  <dcterms:created xsi:type="dcterms:W3CDTF">2014-03-06T09:02:48Z</dcterms:created>
  <dcterms:modified xsi:type="dcterms:W3CDTF">2018-11-27T14:59:03Z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0x010100C4B5EC5F424DF0438C02C794499518FB</vt:lpwstr>
  </property>
  <property fmtid="{D5CDD505-2E9C-101B-9397-08002B2CF9AE}" pid="3" name="Date Completed">
    <vt:lpwstr/>
  </property>
  <property fmtid="{D5CDD505-2E9C-101B-9397-08002B2CF9AE}" pid="4" name="NoOfPages">
    <vt:lpwstr/>
  </property>
  <property fmtid="{D5CDD505-2E9C-101B-9397-08002B2CF9AE}" pid="5" name="Phase">
    <vt:lpwstr>;#Contracted;#</vt:lpwstr>
  </property>
  <property fmtid="{D5CDD505-2E9C-101B-9397-08002B2CF9AE}" pid="6" name="Order">
    <vt:r8>1400</vt:r8>
  </property>
  <property fmtid="{D5CDD505-2E9C-101B-9397-08002B2CF9AE}" pid="7" name="Attention">
    <vt:lpwstr/>
  </property>
  <property fmtid="{D5CDD505-2E9C-101B-9397-08002B2CF9AE}" pid="8" name="Locality">
    <vt:lpwstr/>
  </property>
  <property fmtid="{D5CDD505-2E9C-101B-9397-08002B2CF9AE}" pid="9" name="Client">
    <vt:lpwstr/>
  </property>
  <property fmtid="{D5CDD505-2E9C-101B-9397-08002B2CF9AE}" pid="10" name="Document no">
    <vt:lpwstr/>
  </property>
  <property fmtid="{D5CDD505-2E9C-101B-9397-08002B2CF9AE}" pid="11" name="Type">
    <vt:lpwstr/>
  </property>
  <property fmtid="{D5CDD505-2E9C-101B-9397-08002B2CF9AE}" pid="12" name="xd_ProgID">
    <vt:lpwstr/>
  </property>
  <property fmtid="{D5CDD505-2E9C-101B-9397-08002B2CF9AE}" pid="13" name="PortalAuthor">
    <vt:lpwstr/>
  </property>
  <property fmtid="{D5CDD505-2E9C-101B-9397-08002B2CF9AE}" pid="14" name="COWIKeywords">
    <vt:lpwstr/>
  </property>
  <property fmtid="{D5CDD505-2E9C-101B-9397-08002B2CF9AE}" pid="15" name="WBS">
    <vt:lpwstr/>
  </property>
  <property fmtid="{D5CDD505-2E9C-101B-9397-08002B2CF9AE}" pid="16" name="WorkFax">
    <vt:lpwstr/>
  </property>
  <property fmtid="{D5CDD505-2E9C-101B-9397-08002B2CF9AE}" pid="17" name="PageNo">
    <vt:lpwstr/>
  </property>
  <property fmtid="{D5CDD505-2E9C-101B-9397-08002B2CF9AE}" pid="18" name="MonthYear">
    <vt:lpwstr/>
  </property>
  <property fmtid="{D5CDD505-2E9C-101B-9397-08002B2CF9AE}" pid="19" name="Company">
    <vt:lpwstr>COWI A/S (DK)</vt:lpwstr>
  </property>
  <property fmtid="{D5CDD505-2E9C-101B-9397-08002B2CF9AE}" pid="20" name="TemplateUrl">
    <vt:lpwstr/>
  </property>
  <property fmtid="{D5CDD505-2E9C-101B-9397-08002B2CF9AE}" pid="21" name="Department">
    <vt:lpwstr>1902 Energy</vt:lpwstr>
  </property>
  <property fmtid="{D5CDD505-2E9C-101B-9397-08002B2CF9AE}" pid="22" name="CC">
    <vt:lpwstr/>
  </property>
  <property fmtid="{D5CDD505-2E9C-101B-9397-08002B2CF9AE}" pid="23" name="YoursFaithfully">
    <vt:lpwstr/>
  </property>
  <property fmtid="{D5CDD505-2E9C-101B-9397-08002B2CF9AE}" pid="24" name="ProjectManager">
    <vt:lpwstr/>
  </property>
  <property fmtid="{D5CDD505-2E9C-101B-9397-08002B2CF9AE}" pid="25" name="Projecttitle">
    <vt:lpwstr/>
  </property>
  <property fmtid="{D5CDD505-2E9C-101B-9397-08002B2CF9AE}" pid="26" name="PortalLanguage">
    <vt:lpwstr/>
  </property>
  <property fmtid="{D5CDD505-2E9C-101B-9397-08002B2CF9AE}" pid="27" name="Address">
    <vt:lpwstr/>
  </property>
  <property fmtid="{D5CDD505-2E9C-101B-9397-08002B2CF9AE}" pid="28" name="_AdHocReviewCycleID">
    <vt:i4>373961007</vt:i4>
  </property>
  <property fmtid="{D5CDD505-2E9C-101B-9397-08002B2CF9AE}" pid="29" name="_NewReviewCycle">
    <vt:lpwstr/>
  </property>
  <property fmtid="{D5CDD505-2E9C-101B-9397-08002B2CF9AE}" pid="30" name="_EmailSubject">
    <vt:lpwstr>Tilrettet CO2-regnskab for 2013 med kommentarer indarbejdet</vt:lpwstr>
  </property>
  <property fmtid="{D5CDD505-2E9C-101B-9397-08002B2CF9AE}" pid="31" name="_AuthorEmail">
    <vt:lpwstr>JAH@cowi.dk</vt:lpwstr>
  </property>
  <property fmtid="{D5CDD505-2E9C-101B-9397-08002B2CF9AE}" pid="32" name="_AuthorEmailDisplayName">
    <vt:lpwstr>Jan Holmegaard Hansen</vt:lpwstr>
  </property>
  <property fmtid="{D5CDD505-2E9C-101B-9397-08002B2CF9AE}" pid="33" name="_ReviewingToolsShownOnce">
    <vt:lpwstr/>
  </property>
</Properties>
</file>